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465" windowWidth="25605" windowHeight="14580" tabRatio="533" firstSheet="2" activeTab="2"/>
  </bookViews>
  <sheets>
    <sheet name="Risk Sorted" sheetId="5" state="hidden" r:id="rId1"/>
    <sheet name="RISK (2 old)" sheetId="6" state="hidden" r:id="rId2"/>
    <sheet name="Title" sheetId="20" r:id="rId3"/>
    <sheet name="Likelihood" sheetId="16" r:id="rId4"/>
    <sheet name="Loss Size" sheetId="17" r:id="rId5"/>
    <sheet name="Risk Sorted (2 old)" sheetId="7" state="hidden" r:id="rId6"/>
    <sheet name="Consequence" sheetId="18" r:id="rId7"/>
    <sheet name="Risk" sheetId="10" r:id="rId8"/>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X7" i="10" l="1"/>
  <c r="X6" i="10"/>
  <c r="X5" i="10"/>
  <c r="J38" i="17"/>
  <c r="K38" i="17"/>
  <c r="L38" i="17"/>
  <c r="M38" i="17"/>
  <c r="X44" i="18"/>
  <c r="J37" i="17"/>
  <c r="K37" i="17"/>
  <c r="L37" i="17"/>
  <c r="M37" i="17"/>
  <c r="X43" i="18"/>
  <c r="J36" i="17"/>
  <c r="K36" i="17"/>
  <c r="L36" i="17"/>
  <c r="M36" i="17"/>
  <c r="X42" i="18"/>
  <c r="M35" i="17"/>
  <c r="X41" i="18"/>
  <c r="J34" i="17"/>
  <c r="K34" i="17"/>
  <c r="L34" i="17"/>
  <c r="M34" i="17"/>
  <c r="X40" i="18"/>
  <c r="J33" i="17"/>
  <c r="K33" i="17"/>
  <c r="L33" i="17"/>
  <c r="M33" i="17"/>
  <c r="X39" i="18"/>
  <c r="J32" i="17"/>
  <c r="K32" i="17"/>
  <c r="L32" i="17"/>
  <c r="M32" i="17"/>
  <c r="X38" i="18"/>
  <c r="J31" i="17"/>
  <c r="K31" i="17"/>
  <c r="L31" i="17"/>
  <c r="M31" i="17"/>
  <c r="X37" i="18"/>
  <c r="M30" i="17"/>
  <c r="X36" i="18"/>
  <c r="J29" i="17"/>
  <c r="K29" i="17"/>
  <c r="L29" i="17"/>
  <c r="M29" i="17"/>
  <c r="X35" i="18"/>
  <c r="J28" i="17"/>
  <c r="K28" i="17"/>
  <c r="L28" i="17"/>
  <c r="M28" i="17"/>
  <c r="X34" i="18"/>
  <c r="M27" i="17"/>
  <c r="X33" i="18"/>
  <c r="M26" i="17"/>
  <c r="X32" i="18"/>
  <c r="J25" i="17"/>
  <c r="K25" i="17"/>
  <c r="L25" i="17"/>
  <c r="M25" i="17"/>
  <c r="X31" i="18"/>
  <c r="J24" i="17"/>
  <c r="K24" i="17"/>
  <c r="L24" i="17"/>
  <c r="M24" i="17"/>
  <c r="X30" i="18"/>
  <c r="J23" i="17"/>
  <c r="K23" i="17"/>
  <c r="L23" i="17"/>
  <c r="M23" i="17"/>
  <c r="X29" i="18"/>
  <c r="J22" i="17"/>
  <c r="K22" i="17"/>
  <c r="L22" i="17"/>
  <c r="M22" i="17"/>
  <c r="X28" i="18"/>
  <c r="J21" i="17"/>
  <c r="K21" i="17"/>
  <c r="L21" i="17"/>
  <c r="M21" i="17"/>
  <c r="X27" i="18"/>
  <c r="J20" i="17"/>
  <c r="K20" i="17"/>
  <c r="L20" i="17"/>
  <c r="M20" i="17"/>
  <c r="X26" i="18"/>
  <c r="J19" i="17"/>
  <c r="K19" i="17"/>
  <c r="L19" i="17"/>
  <c r="M19" i="17"/>
  <c r="X25" i="18"/>
  <c r="J18" i="17"/>
  <c r="K18" i="17"/>
  <c r="L18" i="17"/>
  <c r="M18" i="17"/>
  <c r="X24" i="18"/>
  <c r="J17" i="17"/>
  <c r="K17" i="17"/>
  <c r="L17" i="17"/>
  <c r="M17" i="17"/>
  <c r="X23" i="18"/>
  <c r="J16" i="17"/>
  <c r="K16" i="17"/>
  <c r="L16" i="17"/>
  <c r="M16" i="17"/>
  <c r="X22" i="18"/>
  <c r="J15" i="17"/>
  <c r="K15" i="17"/>
  <c r="L15" i="17"/>
  <c r="M15" i="17"/>
  <c r="X21" i="18"/>
  <c r="J14" i="17"/>
  <c r="K14" i="17"/>
  <c r="L14" i="17"/>
  <c r="M14" i="17"/>
  <c r="X20" i="18"/>
  <c r="J13" i="17"/>
  <c r="K13" i="17"/>
  <c r="L13" i="17"/>
  <c r="M13" i="17"/>
  <c r="X19" i="18"/>
  <c r="J12" i="17"/>
  <c r="K12" i="17"/>
  <c r="L12" i="17"/>
  <c r="M12" i="17"/>
  <c r="X18" i="18"/>
  <c r="J11" i="17"/>
  <c r="K11" i="17"/>
  <c r="L11" i="17"/>
  <c r="M11" i="17"/>
  <c r="X17" i="18"/>
  <c r="J10" i="17"/>
  <c r="K10" i="17"/>
  <c r="L10" i="17"/>
  <c r="M10" i="17"/>
  <c r="X16" i="18"/>
  <c r="J9" i="17"/>
  <c r="K9" i="17"/>
  <c r="L9" i="17"/>
  <c r="M9" i="17"/>
  <c r="X15" i="18"/>
  <c r="J8" i="17"/>
  <c r="K8" i="17"/>
  <c r="L8" i="17"/>
  <c r="M8" i="17"/>
  <c r="X14" i="18"/>
  <c r="J7" i="17"/>
  <c r="K7" i="17"/>
  <c r="L7" i="17"/>
  <c r="M7" i="17"/>
  <c r="X13" i="18"/>
  <c r="X46" i="18"/>
  <c r="AM46" i="16"/>
  <c r="E22" i="10"/>
  <c r="E18" i="10"/>
  <c r="E21" i="10"/>
  <c r="E37" i="10"/>
  <c r="E35" i="10"/>
  <c r="E32" i="10"/>
  <c r="E30" i="10"/>
  <c r="E34" i="10"/>
  <c r="E28" i="10"/>
  <c r="E25" i="10"/>
  <c r="E33" i="10"/>
  <c r="E36" i="10"/>
  <c r="E31" i="10"/>
  <c r="E19" i="10"/>
  <c r="E27" i="10"/>
  <c r="E20" i="10"/>
  <c r="E14" i="10"/>
  <c r="E29" i="10"/>
  <c r="E13" i="10"/>
  <c r="E15" i="10"/>
  <c r="E24" i="10"/>
  <c r="E11" i="10"/>
  <c r="E17" i="10"/>
  <c r="E12" i="10"/>
  <c r="E23" i="10"/>
  <c r="E16" i="10"/>
  <c r="E10" i="10"/>
  <c r="E9" i="10"/>
  <c r="E8" i="10"/>
  <c r="E7" i="10"/>
  <c r="E6" i="10"/>
  <c r="E26" i="10"/>
  <c r="H12" i="6"/>
  <c r="N12" i="6"/>
  <c r="O12" i="6"/>
  <c r="AE12" i="6"/>
  <c r="AF12" i="6"/>
  <c r="AG12" i="6"/>
  <c r="AH12" i="6"/>
  <c r="AI12" i="6"/>
  <c r="AJ12" i="6"/>
  <c r="AK12" i="6"/>
  <c r="AZ12" i="6"/>
  <c r="AM12" i="6"/>
  <c r="AP12" i="6"/>
  <c r="AQ12" i="6"/>
  <c r="AR12" i="6"/>
  <c r="AS12" i="6"/>
  <c r="AT12" i="6"/>
  <c r="AU12" i="6"/>
  <c r="AV12" i="6"/>
  <c r="AN12" i="6"/>
  <c r="AW12" i="6"/>
  <c r="BA12" i="6"/>
  <c r="BB12" i="6"/>
  <c r="M12" i="6"/>
  <c r="I12" i="6"/>
  <c r="L34" i="7"/>
  <c r="L33" i="7"/>
  <c r="K34" i="7"/>
  <c r="K33" i="7"/>
  <c r="J34" i="7"/>
  <c r="J33" i="7"/>
  <c r="N67" i="6"/>
  <c r="O67" i="6"/>
  <c r="AE67" i="6"/>
  <c r="AF67" i="6"/>
  <c r="AG67" i="6"/>
  <c r="AH67" i="6"/>
  <c r="AI67" i="6"/>
  <c r="AJ67" i="6"/>
  <c r="AK67" i="6"/>
  <c r="AZ67" i="6"/>
  <c r="AM67" i="6"/>
  <c r="AO67" i="6"/>
  <c r="AP67" i="6"/>
  <c r="AQ67" i="6"/>
  <c r="AR67" i="6"/>
  <c r="AS67" i="6"/>
  <c r="AT67" i="6"/>
  <c r="AU67" i="6"/>
  <c r="AW67" i="6"/>
  <c r="BA67" i="6"/>
  <c r="BB67" i="6"/>
  <c r="M67" i="6"/>
  <c r="N66" i="6"/>
  <c r="O66" i="6"/>
  <c r="AE66" i="6"/>
  <c r="AF66" i="6"/>
  <c r="AG66" i="6"/>
  <c r="AH66" i="6"/>
  <c r="AI66" i="6"/>
  <c r="AJ66" i="6"/>
  <c r="AK66" i="6"/>
  <c r="AZ66" i="6"/>
  <c r="AM66" i="6"/>
  <c r="AO66" i="6"/>
  <c r="AP66" i="6"/>
  <c r="AQ66" i="6"/>
  <c r="AR66" i="6"/>
  <c r="AS66" i="6"/>
  <c r="AT66" i="6"/>
  <c r="AU66" i="6"/>
  <c r="AW66" i="6"/>
  <c r="BA66" i="6"/>
  <c r="BB66" i="6"/>
  <c r="M66" i="6"/>
  <c r="N65" i="6"/>
  <c r="O65" i="6"/>
  <c r="AE65" i="6"/>
  <c r="AF65" i="6"/>
  <c r="AG65" i="6"/>
  <c r="AH65" i="6"/>
  <c r="AI65" i="6"/>
  <c r="AJ65" i="6"/>
  <c r="AK65" i="6"/>
  <c r="AZ65" i="6"/>
  <c r="AM65" i="6"/>
  <c r="AO65" i="6"/>
  <c r="AP65" i="6"/>
  <c r="AQ65" i="6"/>
  <c r="AR65" i="6"/>
  <c r="AS65" i="6"/>
  <c r="AT65" i="6"/>
  <c r="AU65" i="6"/>
  <c r="AW65" i="6"/>
  <c r="BA65" i="6"/>
  <c r="BB65" i="6"/>
  <c r="M65" i="6"/>
  <c r="N64" i="6"/>
  <c r="O64" i="6"/>
  <c r="AE64" i="6"/>
  <c r="AF64" i="6"/>
  <c r="AG64" i="6"/>
  <c r="AH64" i="6"/>
  <c r="AI64" i="6"/>
  <c r="AJ64" i="6"/>
  <c r="AK64" i="6"/>
  <c r="AZ64" i="6"/>
  <c r="AM64" i="6"/>
  <c r="AO64" i="6"/>
  <c r="AP64" i="6"/>
  <c r="AQ64" i="6"/>
  <c r="AR64" i="6"/>
  <c r="AS64" i="6"/>
  <c r="AT64" i="6"/>
  <c r="AU64" i="6"/>
  <c r="AW64" i="6"/>
  <c r="BA64" i="6"/>
  <c r="BB64" i="6"/>
  <c r="M64" i="6"/>
  <c r="H63" i="6"/>
  <c r="N63" i="6"/>
  <c r="O63" i="6"/>
  <c r="AE63" i="6"/>
  <c r="AF63" i="6"/>
  <c r="AG63" i="6"/>
  <c r="AH63" i="6"/>
  <c r="AI63" i="6"/>
  <c r="AJ63" i="6"/>
  <c r="AK63" i="6"/>
  <c r="AZ63" i="6"/>
  <c r="AM63" i="6"/>
  <c r="AO63" i="6"/>
  <c r="AP63" i="6"/>
  <c r="AQ63" i="6"/>
  <c r="AR63" i="6"/>
  <c r="AS63" i="6"/>
  <c r="AT63" i="6"/>
  <c r="AU63" i="6"/>
  <c r="AW63" i="6"/>
  <c r="BA63" i="6"/>
  <c r="BB63" i="6"/>
  <c r="M63" i="6"/>
  <c r="N62" i="6"/>
  <c r="O62" i="6"/>
  <c r="AE62" i="6"/>
  <c r="AF62" i="6"/>
  <c r="AG62" i="6"/>
  <c r="AH62" i="6"/>
  <c r="AI62" i="6"/>
  <c r="AJ62" i="6"/>
  <c r="AK62" i="6"/>
  <c r="AZ62" i="6"/>
  <c r="AM62" i="6"/>
  <c r="AO62" i="6"/>
  <c r="AP62" i="6"/>
  <c r="AQ62" i="6"/>
  <c r="AR62" i="6"/>
  <c r="AS62" i="6"/>
  <c r="AT62" i="6"/>
  <c r="AU62" i="6"/>
  <c r="AW62" i="6"/>
  <c r="BA62" i="6"/>
  <c r="BB62" i="6"/>
  <c r="M62" i="6"/>
  <c r="N61" i="6"/>
  <c r="O61" i="6"/>
  <c r="AE61" i="6"/>
  <c r="AF61" i="6"/>
  <c r="AG61" i="6"/>
  <c r="AH61" i="6"/>
  <c r="AI61" i="6"/>
  <c r="AJ61" i="6"/>
  <c r="AK61" i="6"/>
  <c r="AZ61" i="6"/>
  <c r="AM61" i="6"/>
  <c r="AO61" i="6"/>
  <c r="AP61" i="6"/>
  <c r="AQ61" i="6"/>
  <c r="AR61" i="6"/>
  <c r="AS61" i="6"/>
  <c r="AT61" i="6"/>
  <c r="AU61" i="6"/>
  <c r="AW61" i="6"/>
  <c r="BA61" i="6"/>
  <c r="BB61" i="6"/>
  <c r="M61" i="6"/>
  <c r="H60" i="6"/>
  <c r="N60" i="6"/>
  <c r="O60" i="6"/>
  <c r="AE60" i="6"/>
  <c r="AF60" i="6"/>
  <c r="AG60" i="6"/>
  <c r="AH60" i="6"/>
  <c r="AI60" i="6"/>
  <c r="AJ60" i="6"/>
  <c r="AK60" i="6"/>
  <c r="AZ60" i="6"/>
  <c r="AM60" i="6"/>
  <c r="AO60" i="6"/>
  <c r="AP60" i="6"/>
  <c r="AQ60" i="6"/>
  <c r="AR60" i="6"/>
  <c r="AS60" i="6"/>
  <c r="AT60" i="6"/>
  <c r="AU60" i="6"/>
  <c r="AW60" i="6"/>
  <c r="BA60" i="6"/>
  <c r="BB60" i="6"/>
  <c r="N59" i="6"/>
  <c r="O59" i="6"/>
  <c r="AE59" i="6"/>
  <c r="AF59" i="6"/>
  <c r="AG59" i="6"/>
  <c r="AH59" i="6"/>
  <c r="AI59" i="6"/>
  <c r="AJ59" i="6"/>
  <c r="AK59" i="6"/>
  <c r="AZ59" i="6"/>
  <c r="AM59" i="6"/>
  <c r="AO59" i="6"/>
  <c r="AP59" i="6"/>
  <c r="AQ59" i="6"/>
  <c r="AR59" i="6"/>
  <c r="AS59" i="6"/>
  <c r="AT59" i="6"/>
  <c r="AU59" i="6"/>
  <c r="AX59" i="6"/>
  <c r="AW59" i="6"/>
  <c r="BA59" i="6"/>
  <c r="BB59" i="6"/>
  <c r="M59" i="6"/>
  <c r="N58" i="6"/>
  <c r="O58" i="6"/>
  <c r="AE58" i="6"/>
  <c r="AF58" i="6"/>
  <c r="AG58" i="6"/>
  <c r="AH58" i="6"/>
  <c r="AI58" i="6"/>
  <c r="AJ58" i="6"/>
  <c r="AK58" i="6"/>
  <c r="AZ58" i="6"/>
  <c r="AM58" i="6"/>
  <c r="AO58" i="6"/>
  <c r="AP58" i="6"/>
  <c r="AQ58" i="6"/>
  <c r="AR58" i="6"/>
  <c r="AS58" i="6"/>
  <c r="AT58" i="6"/>
  <c r="AU58" i="6"/>
  <c r="AX58" i="6"/>
  <c r="AW58" i="6"/>
  <c r="BA58" i="6"/>
  <c r="BB58" i="6"/>
  <c r="M58" i="6"/>
  <c r="N57" i="6"/>
  <c r="O57" i="6"/>
  <c r="AE57" i="6"/>
  <c r="AF57" i="6"/>
  <c r="AG57" i="6"/>
  <c r="AH57" i="6"/>
  <c r="AI57" i="6"/>
  <c r="AJ57" i="6"/>
  <c r="AK57" i="6"/>
  <c r="AZ57" i="6"/>
  <c r="AM57" i="6"/>
  <c r="AO57" i="6"/>
  <c r="AP57" i="6"/>
  <c r="AQ57" i="6"/>
  <c r="AR57" i="6"/>
  <c r="AS57" i="6"/>
  <c r="AT57" i="6"/>
  <c r="AU57" i="6"/>
  <c r="AW57" i="6"/>
  <c r="BA57" i="6"/>
  <c r="BB57" i="6"/>
  <c r="M57" i="6"/>
  <c r="N56" i="6"/>
  <c r="O56" i="6"/>
  <c r="AE56" i="6"/>
  <c r="AF56" i="6"/>
  <c r="AG56" i="6"/>
  <c r="AH56" i="6"/>
  <c r="AI56" i="6"/>
  <c r="AJ56" i="6"/>
  <c r="AK56" i="6"/>
  <c r="AZ56" i="6"/>
  <c r="AM56" i="6"/>
  <c r="AO56" i="6"/>
  <c r="AP56" i="6"/>
  <c r="AQ56" i="6"/>
  <c r="AR56" i="6"/>
  <c r="AS56" i="6"/>
  <c r="AT56" i="6"/>
  <c r="AU56" i="6"/>
  <c r="AW56" i="6"/>
  <c r="BA56" i="6"/>
  <c r="BB56" i="6"/>
  <c r="M56" i="6"/>
  <c r="N55" i="6"/>
  <c r="O55" i="6"/>
  <c r="AE55" i="6"/>
  <c r="AF55" i="6"/>
  <c r="AG55" i="6"/>
  <c r="AH55" i="6"/>
  <c r="AI55" i="6"/>
  <c r="AJ55" i="6"/>
  <c r="AK55" i="6"/>
  <c r="AZ55" i="6"/>
  <c r="AM55" i="6"/>
  <c r="AO55" i="6"/>
  <c r="AP55" i="6"/>
  <c r="AQ55" i="6"/>
  <c r="AR55" i="6"/>
  <c r="AS55" i="6"/>
  <c r="AT55" i="6"/>
  <c r="AU55" i="6"/>
  <c r="AW55" i="6"/>
  <c r="BA55" i="6"/>
  <c r="BB55" i="6"/>
  <c r="M55" i="6"/>
  <c r="N54" i="6"/>
  <c r="O54" i="6"/>
  <c r="AE54" i="6"/>
  <c r="AF54" i="6"/>
  <c r="AG54" i="6"/>
  <c r="AH54" i="6"/>
  <c r="AI54" i="6"/>
  <c r="AJ54" i="6"/>
  <c r="AK54" i="6"/>
  <c r="AZ54" i="6"/>
  <c r="AM54" i="6"/>
  <c r="AO54" i="6"/>
  <c r="AP54" i="6"/>
  <c r="AQ54" i="6"/>
  <c r="AR54" i="6"/>
  <c r="AS54" i="6"/>
  <c r="AT54" i="6"/>
  <c r="AU54" i="6"/>
  <c r="AW54" i="6"/>
  <c r="BA54" i="6"/>
  <c r="BB54" i="6"/>
  <c r="M54" i="6"/>
  <c r="N53" i="6"/>
  <c r="O53" i="6"/>
  <c r="AE53" i="6"/>
  <c r="AF53" i="6"/>
  <c r="AG53" i="6"/>
  <c r="AH53" i="6"/>
  <c r="AI53" i="6"/>
  <c r="AJ53" i="6"/>
  <c r="AK53" i="6"/>
  <c r="AZ53" i="6"/>
  <c r="AM53" i="6"/>
  <c r="AO53" i="6"/>
  <c r="AP53" i="6"/>
  <c r="AQ53" i="6"/>
  <c r="AR53" i="6"/>
  <c r="AS53" i="6"/>
  <c r="AT53" i="6"/>
  <c r="AU53" i="6"/>
  <c r="AW53" i="6"/>
  <c r="BA53" i="6"/>
  <c r="BB53" i="6"/>
  <c r="M53" i="6"/>
  <c r="N52" i="6"/>
  <c r="O52" i="6"/>
  <c r="AE52" i="6"/>
  <c r="AF52" i="6"/>
  <c r="AG52" i="6"/>
  <c r="AH52" i="6"/>
  <c r="AI52" i="6"/>
  <c r="AJ52" i="6"/>
  <c r="AK52" i="6"/>
  <c r="AZ52" i="6"/>
  <c r="AM52" i="6"/>
  <c r="AO52" i="6"/>
  <c r="AP52" i="6"/>
  <c r="AQ52" i="6"/>
  <c r="AR52" i="6"/>
  <c r="AS52" i="6"/>
  <c r="AT52" i="6"/>
  <c r="AU52" i="6"/>
  <c r="AW52" i="6"/>
  <c r="BA52" i="6"/>
  <c r="BB52" i="6"/>
  <c r="M52" i="6"/>
  <c r="N51" i="6"/>
  <c r="O51" i="6"/>
  <c r="AE51" i="6"/>
  <c r="AF51" i="6"/>
  <c r="AG51" i="6"/>
  <c r="AH51" i="6"/>
  <c r="AI51" i="6"/>
  <c r="AJ51" i="6"/>
  <c r="AK51" i="6"/>
  <c r="AZ51" i="6"/>
  <c r="AM51" i="6"/>
  <c r="AO51" i="6"/>
  <c r="AP51" i="6"/>
  <c r="AQ51" i="6"/>
  <c r="AR51" i="6"/>
  <c r="AS51" i="6"/>
  <c r="AT51" i="6"/>
  <c r="AU51" i="6"/>
  <c r="AW51" i="6"/>
  <c r="BA51" i="6"/>
  <c r="BB51" i="6"/>
  <c r="AU47" i="6"/>
  <c r="AT47" i="6"/>
  <c r="AS47" i="6"/>
  <c r="AR47" i="6"/>
  <c r="AQ47" i="6"/>
  <c r="AP47" i="6"/>
  <c r="AM47" i="6"/>
  <c r="AK47" i="6"/>
  <c r="AJ47" i="6"/>
  <c r="AI47" i="6"/>
  <c r="AH47" i="6"/>
  <c r="AG47" i="6"/>
  <c r="AF47" i="6"/>
  <c r="AE47" i="6"/>
  <c r="N47" i="6"/>
  <c r="M47" i="6"/>
  <c r="N46" i="6"/>
  <c r="O46" i="6"/>
  <c r="AE46" i="6"/>
  <c r="AF46" i="6"/>
  <c r="AG46" i="6"/>
  <c r="AH46" i="6"/>
  <c r="AI46" i="6"/>
  <c r="AJ46" i="6"/>
  <c r="AK46" i="6"/>
  <c r="AZ46" i="6"/>
  <c r="AM46" i="6"/>
  <c r="AP46" i="6"/>
  <c r="AQ46" i="6"/>
  <c r="AR46" i="6"/>
  <c r="AS46" i="6"/>
  <c r="AT46" i="6"/>
  <c r="AU46" i="6"/>
  <c r="AW46" i="6"/>
  <c r="BA46" i="6"/>
  <c r="BB46" i="6"/>
  <c r="M46" i="6"/>
  <c r="N45" i="6"/>
  <c r="O45" i="6"/>
  <c r="AE45" i="6"/>
  <c r="AF45" i="6"/>
  <c r="AG45" i="6"/>
  <c r="AH45" i="6"/>
  <c r="AI45" i="6"/>
  <c r="AJ45" i="6"/>
  <c r="AK45" i="6"/>
  <c r="AZ45" i="6"/>
  <c r="AM45" i="6"/>
  <c r="AP45" i="6"/>
  <c r="AQ45" i="6"/>
  <c r="AR45" i="6"/>
  <c r="AS45" i="6"/>
  <c r="AT45" i="6"/>
  <c r="AW45" i="6"/>
  <c r="BA45" i="6"/>
  <c r="BB45" i="6"/>
  <c r="M45" i="6"/>
  <c r="N44" i="6"/>
  <c r="O44" i="6"/>
  <c r="AE44" i="6"/>
  <c r="AF44" i="6"/>
  <c r="AG44" i="6"/>
  <c r="AH44" i="6"/>
  <c r="AI44" i="6"/>
  <c r="AJ44" i="6"/>
  <c r="AK44" i="6"/>
  <c r="AZ44" i="6"/>
  <c r="AM44" i="6"/>
  <c r="AP44" i="6"/>
  <c r="AQ44" i="6"/>
  <c r="AR44" i="6"/>
  <c r="AS44" i="6"/>
  <c r="AT44" i="6"/>
  <c r="AU44" i="6"/>
  <c r="AV44" i="6"/>
  <c r="AW44" i="6"/>
  <c r="BA44" i="6"/>
  <c r="BB44" i="6"/>
  <c r="M44" i="6"/>
  <c r="H43" i="6"/>
  <c r="N43" i="6"/>
  <c r="O43" i="6"/>
  <c r="AE43" i="6"/>
  <c r="AF43" i="6"/>
  <c r="AG43" i="6"/>
  <c r="AH43" i="6"/>
  <c r="AI43" i="6"/>
  <c r="AJ43" i="6"/>
  <c r="AK43" i="6"/>
  <c r="AZ43" i="6"/>
  <c r="AM43" i="6"/>
  <c r="AP43" i="6"/>
  <c r="AQ43" i="6"/>
  <c r="AR43" i="6"/>
  <c r="AS43" i="6"/>
  <c r="AT43" i="6"/>
  <c r="AU43" i="6"/>
  <c r="AW43" i="6"/>
  <c r="BA43" i="6"/>
  <c r="BB43" i="6"/>
  <c r="M43" i="6"/>
  <c r="AU42" i="6"/>
  <c r="AT42" i="6"/>
  <c r="AS42" i="6"/>
  <c r="AR42" i="6"/>
  <c r="AQ42" i="6"/>
  <c r="AP42" i="6"/>
  <c r="AM42" i="6"/>
  <c r="AK42" i="6"/>
  <c r="AJ42" i="6"/>
  <c r="AI42" i="6"/>
  <c r="AH42" i="6"/>
  <c r="AG42" i="6"/>
  <c r="AF42" i="6"/>
  <c r="AE42" i="6"/>
  <c r="N42" i="6"/>
  <c r="N41" i="6"/>
  <c r="O41" i="6"/>
  <c r="AE41" i="6"/>
  <c r="AF41" i="6"/>
  <c r="AG41" i="6"/>
  <c r="AH41" i="6"/>
  <c r="AI41" i="6"/>
  <c r="AJ41" i="6"/>
  <c r="AK41" i="6"/>
  <c r="AZ41" i="6"/>
  <c r="AM41" i="6"/>
  <c r="AP41" i="6"/>
  <c r="AQ41" i="6"/>
  <c r="AR41" i="6"/>
  <c r="AS41" i="6"/>
  <c r="AT41" i="6"/>
  <c r="AU41" i="6"/>
  <c r="AW41" i="6"/>
  <c r="BA41" i="6"/>
  <c r="BB41" i="6"/>
  <c r="M41" i="6"/>
  <c r="N40" i="6"/>
  <c r="O40" i="6"/>
  <c r="AE40" i="6"/>
  <c r="AF40" i="6"/>
  <c r="AG40" i="6"/>
  <c r="AH40" i="6"/>
  <c r="AI40" i="6"/>
  <c r="AJ40" i="6"/>
  <c r="AK40" i="6"/>
  <c r="AZ40" i="6"/>
  <c r="AM40" i="6"/>
  <c r="AP40" i="6"/>
  <c r="AQ40" i="6"/>
  <c r="AR40" i="6"/>
  <c r="AS40" i="6"/>
  <c r="AT40" i="6"/>
  <c r="AU40" i="6"/>
  <c r="AW40" i="6"/>
  <c r="BA40" i="6"/>
  <c r="BB40" i="6"/>
  <c r="M40" i="6"/>
  <c r="N39" i="6"/>
  <c r="O39" i="6"/>
  <c r="AE39" i="6"/>
  <c r="AF39" i="6"/>
  <c r="AG39" i="6"/>
  <c r="AH39" i="6"/>
  <c r="AI39" i="6"/>
  <c r="AJ39" i="6"/>
  <c r="AK39" i="6"/>
  <c r="AZ39" i="6"/>
  <c r="AM39" i="6"/>
  <c r="AP39" i="6"/>
  <c r="AQ39" i="6"/>
  <c r="AR39" i="6"/>
  <c r="AS39" i="6"/>
  <c r="AT39" i="6"/>
  <c r="AU39" i="6"/>
  <c r="AW39" i="6"/>
  <c r="BA39" i="6"/>
  <c r="BB39" i="6"/>
  <c r="M39" i="6"/>
  <c r="N38" i="6"/>
  <c r="O38" i="6"/>
  <c r="AE38" i="6"/>
  <c r="AF38" i="6"/>
  <c r="AG38" i="6"/>
  <c r="AH38" i="6"/>
  <c r="AI38" i="6"/>
  <c r="AJ38" i="6"/>
  <c r="AK38" i="6"/>
  <c r="AZ38" i="6"/>
  <c r="AM38" i="6"/>
  <c r="AP38" i="6"/>
  <c r="AQ38" i="6"/>
  <c r="AR38" i="6"/>
  <c r="AS38" i="6"/>
  <c r="AT38" i="6"/>
  <c r="AU38" i="6"/>
  <c r="AW38" i="6"/>
  <c r="BA38" i="6"/>
  <c r="BB38" i="6"/>
  <c r="M38" i="6"/>
  <c r="AU37" i="6"/>
  <c r="AT37" i="6"/>
  <c r="AS37" i="6"/>
  <c r="AR37" i="6"/>
  <c r="AQ37" i="6"/>
  <c r="AP37" i="6"/>
  <c r="AM37" i="6"/>
  <c r="AK37" i="6"/>
  <c r="AJ37" i="6"/>
  <c r="AI37" i="6"/>
  <c r="AH37" i="6"/>
  <c r="AG37" i="6"/>
  <c r="AF37" i="6"/>
  <c r="AE37" i="6"/>
  <c r="N37" i="6"/>
  <c r="H30" i="6"/>
  <c r="H37" i="6"/>
  <c r="H7" i="6"/>
  <c r="H36" i="6"/>
  <c r="N36" i="6"/>
  <c r="O36" i="6"/>
  <c r="AE36" i="6"/>
  <c r="AF36" i="6"/>
  <c r="AG36" i="6"/>
  <c r="AH36" i="6"/>
  <c r="AI36" i="6"/>
  <c r="AJ36" i="6"/>
  <c r="AK36" i="6"/>
  <c r="AZ36" i="6"/>
  <c r="AM36" i="6"/>
  <c r="AP36" i="6"/>
  <c r="AQ36" i="6"/>
  <c r="AR36" i="6"/>
  <c r="AS36" i="6"/>
  <c r="AT36" i="6"/>
  <c r="AU36" i="6"/>
  <c r="AW36" i="6"/>
  <c r="BA36" i="6"/>
  <c r="BB36" i="6"/>
  <c r="M36" i="6"/>
  <c r="N35" i="6"/>
  <c r="O35" i="6"/>
  <c r="AE35" i="6"/>
  <c r="AF35" i="6"/>
  <c r="AG35" i="6"/>
  <c r="AH35" i="6"/>
  <c r="AI35" i="6"/>
  <c r="AJ35" i="6"/>
  <c r="AK35" i="6"/>
  <c r="AZ35" i="6"/>
  <c r="AM35" i="6"/>
  <c r="AP35" i="6"/>
  <c r="AQ35" i="6"/>
  <c r="AR35" i="6"/>
  <c r="AS35" i="6"/>
  <c r="AT35" i="6"/>
  <c r="AU35" i="6"/>
  <c r="AW35" i="6"/>
  <c r="BA35" i="6"/>
  <c r="BB35" i="6"/>
  <c r="M35" i="6"/>
  <c r="AE34" i="6"/>
  <c r="AF34" i="6"/>
  <c r="AG34" i="6"/>
  <c r="AH34" i="6"/>
  <c r="AI34" i="6"/>
  <c r="AJ34" i="6"/>
  <c r="AK34" i="6"/>
  <c r="AZ34" i="6"/>
  <c r="AU34" i="6"/>
  <c r="AT34" i="6"/>
  <c r="AS34" i="6"/>
  <c r="AR34" i="6"/>
  <c r="AQ34" i="6"/>
  <c r="AP34" i="6"/>
  <c r="AM34" i="6"/>
  <c r="N34" i="6"/>
  <c r="H34" i="6"/>
  <c r="N33" i="6"/>
  <c r="O33" i="6"/>
  <c r="AE33" i="6"/>
  <c r="AF33" i="6"/>
  <c r="AG33" i="6"/>
  <c r="AH33" i="6"/>
  <c r="AI33" i="6"/>
  <c r="AJ33" i="6"/>
  <c r="AK33" i="6"/>
  <c r="AZ33" i="6"/>
  <c r="AM33" i="6"/>
  <c r="AP33" i="6"/>
  <c r="AQ33" i="6"/>
  <c r="AR33" i="6"/>
  <c r="AS33" i="6"/>
  <c r="AT33" i="6"/>
  <c r="AU33" i="6"/>
  <c r="AW33" i="6"/>
  <c r="BA33" i="6"/>
  <c r="BB33" i="6"/>
  <c r="M33" i="6"/>
  <c r="N32" i="6"/>
  <c r="O32" i="6"/>
  <c r="AE32" i="6"/>
  <c r="AF32" i="6"/>
  <c r="AG32" i="6"/>
  <c r="AH32" i="6"/>
  <c r="AI32" i="6"/>
  <c r="AJ32" i="6"/>
  <c r="AK32" i="6"/>
  <c r="AZ32" i="6"/>
  <c r="AM32" i="6"/>
  <c r="AP32" i="6"/>
  <c r="AQ32" i="6"/>
  <c r="AR32" i="6"/>
  <c r="AS32" i="6"/>
  <c r="AT32" i="6"/>
  <c r="AU32" i="6"/>
  <c r="AW32" i="6"/>
  <c r="BA32" i="6"/>
  <c r="BB32" i="6"/>
  <c r="M32" i="6"/>
  <c r="N31" i="6"/>
  <c r="O31" i="6"/>
  <c r="AE31" i="6"/>
  <c r="AF31" i="6"/>
  <c r="AG31" i="6"/>
  <c r="AH31" i="6"/>
  <c r="AI31" i="6"/>
  <c r="AJ31" i="6"/>
  <c r="AK31" i="6"/>
  <c r="AZ31" i="6"/>
  <c r="AM31" i="6"/>
  <c r="AP31" i="6"/>
  <c r="AQ31" i="6"/>
  <c r="AR31" i="6"/>
  <c r="AS31" i="6"/>
  <c r="AT31" i="6"/>
  <c r="AU31" i="6"/>
  <c r="AW31" i="6"/>
  <c r="BA31" i="6"/>
  <c r="BB31" i="6"/>
  <c r="M31" i="6"/>
  <c r="AE30" i="6"/>
  <c r="AF30" i="6"/>
  <c r="AG30" i="6"/>
  <c r="AH30" i="6"/>
  <c r="AJ30" i="6"/>
  <c r="AK30" i="6"/>
  <c r="AZ30" i="6"/>
  <c r="AU30" i="6"/>
  <c r="AT30" i="6"/>
  <c r="AS30" i="6"/>
  <c r="AR30" i="6"/>
  <c r="AQ30" i="6"/>
  <c r="AP30" i="6"/>
  <c r="AM30" i="6"/>
  <c r="N30" i="6"/>
  <c r="N28" i="6"/>
  <c r="O28" i="6"/>
  <c r="AE28" i="6"/>
  <c r="AF28" i="6"/>
  <c r="AG28" i="6"/>
  <c r="AH28" i="6"/>
  <c r="AI28" i="6"/>
  <c r="AJ28" i="6"/>
  <c r="AK28" i="6"/>
  <c r="AZ28" i="6"/>
  <c r="AM28" i="6"/>
  <c r="AP28" i="6"/>
  <c r="AQ28" i="6"/>
  <c r="AR28" i="6"/>
  <c r="AS28" i="6"/>
  <c r="AT28" i="6"/>
  <c r="AW28" i="6"/>
  <c r="BA28" i="6"/>
  <c r="BB28" i="6"/>
  <c r="M28" i="6"/>
  <c r="N27" i="6"/>
  <c r="O27" i="6"/>
  <c r="AE27" i="6"/>
  <c r="AF27" i="6"/>
  <c r="AG27" i="6"/>
  <c r="AH27" i="6"/>
  <c r="AI27" i="6"/>
  <c r="AJ27" i="6"/>
  <c r="AK27" i="6"/>
  <c r="AZ27" i="6"/>
  <c r="AM27" i="6"/>
  <c r="AP27" i="6"/>
  <c r="AQ27" i="6"/>
  <c r="AR27" i="6"/>
  <c r="AS27" i="6"/>
  <c r="AT27" i="6"/>
  <c r="AU27" i="6"/>
  <c r="AW27" i="6"/>
  <c r="BA27" i="6"/>
  <c r="BB27" i="6"/>
  <c r="M27" i="6"/>
  <c r="N26" i="6"/>
  <c r="O26" i="6"/>
  <c r="AE26" i="6"/>
  <c r="AF26" i="6"/>
  <c r="AG26" i="6"/>
  <c r="AH26" i="6"/>
  <c r="AI26" i="6"/>
  <c r="AJ26" i="6"/>
  <c r="AK26" i="6"/>
  <c r="AZ26" i="6"/>
  <c r="AM26" i="6"/>
  <c r="AP26" i="6"/>
  <c r="AQ26" i="6"/>
  <c r="AR26" i="6"/>
  <c r="AS26" i="6"/>
  <c r="AT26" i="6"/>
  <c r="AU26" i="6"/>
  <c r="AW26" i="6"/>
  <c r="BA26" i="6"/>
  <c r="BB26" i="6"/>
  <c r="M26" i="6"/>
  <c r="H25" i="6"/>
  <c r="N25" i="6"/>
  <c r="O25" i="6"/>
  <c r="AE25" i="6"/>
  <c r="AF25" i="6"/>
  <c r="AG25" i="6"/>
  <c r="AH25" i="6"/>
  <c r="AI25" i="6"/>
  <c r="AJ25" i="6"/>
  <c r="AK25" i="6"/>
  <c r="AZ25" i="6"/>
  <c r="AM25" i="6"/>
  <c r="AP25" i="6"/>
  <c r="AQ25" i="6"/>
  <c r="AR25" i="6"/>
  <c r="AS25" i="6"/>
  <c r="AT25" i="6"/>
  <c r="AU25" i="6"/>
  <c r="AN25" i="6"/>
  <c r="AX25" i="6"/>
  <c r="AW25" i="6"/>
  <c r="BA25" i="6"/>
  <c r="BB25" i="6"/>
  <c r="M25" i="6"/>
  <c r="N23" i="6"/>
  <c r="O23" i="6"/>
  <c r="AE23" i="6"/>
  <c r="AF23" i="6"/>
  <c r="AG23" i="6"/>
  <c r="AH23" i="6"/>
  <c r="AI23" i="6"/>
  <c r="AJ23" i="6"/>
  <c r="AK23" i="6"/>
  <c r="AZ23" i="6"/>
  <c r="AM23" i="6"/>
  <c r="AP23" i="6"/>
  <c r="AQ23" i="6"/>
  <c r="AR23" i="6"/>
  <c r="AS23" i="6"/>
  <c r="AT23" i="6"/>
  <c r="AU23" i="6"/>
  <c r="AW23" i="6"/>
  <c r="BA23" i="6"/>
  <c r="BB23" i="6"/>
  <c r="M23" i="6"/>
  <c r="H22" i="6"/>
  <c r="N22" i="6"/>
  <c r="O22" i="6"/>
  <c r="AE22" i="6"/>
  <c r="AF22" i="6"/>
  <c r="AG22" i="6"/>
  <c r="AH22" i="6"/>
  <c r="AI22" i="6"/>
  <c r="AJ22" i="6"/>
  <c r="AK22" i="6"/>
  <c r="AZ22" i="6"/>
  <c r="AM22" i="6"/>
  <c r="AP22" i="6"/>
  <c r="AQ22" i="6"/>
  <c r="AR22" i="6"/>
  <c r="AS22" i="6"/>
  <c r="AT22" i="6"/>
  <c r="AU22" i="6"/>
  <c r="AW22" i="6"/>
  <c r="BA22" i="6"/>
  <c r="BB22" i="6"/>
  <c r="M22" i="6"/>
  <c r="N21" i="6"/>
  <c r="O21" i="6"/>
  <c r="AE21" i="6"/>
  <c r="AF21" i="6"/>
  <c r="AG21" i="6"/>
  <c r="AH21" i="6"/>
  <c r="AI21" i="6"/>
  <c r="AJ21" i="6"/>
  <c r="AK21" i="6"/>
  <c r="AZ21" i="6"/>
  <c r="AM21" i="6"/>
  <c r="AP21" i="6"/>
  <c r="AQ21" i="6"/>
  <c r="AR21" i="6"/>
  <c r="AS21" i="6"/>
  <c r="AT21" i="6"/>
  <c r="AU21" i="6"/>
  <c r="AW21" i="6"/>
  <c r="BA21" i="6"/>
  <c r="BB21" i="6"/>
  <c r="M21" i="6"/>
  <c r="N20" i="6"/>
  <c r="O20" i="6"/>
  <c r="AE20" i="6"/>
  <c r="AF20" i="6"/>
  <c r="AG20" i="6"/>
  <c r="AH20" i="6"/>
  <c r="AI20" i="6"/>
  <c r="AJ20" i="6"/>
  <c r="AK20" i="6"/>
  <c r="AZ20" i="6"/>
  <c r="AM20" i="6"/>
  <c r="AP20" i="6"/>
  <c r="AQ20" i="6"/>
  <c r="AR20" i="6"/>
  <c r="AS20" i="6"/>
  <c r="AT20" i="6"/>
  <c r="AU20" i="6"/>
  <c r="AW20" i="6"/>
  <c r="BA20" i="6"/>
  <c r="BB20" i="6"/>
  <c r="M20" i="6"/>
  <c r="AE19" i="6"/>
  <c r="AF19" i="6"/>
  <c r="AG19" i="6"/>
  <c r="AH19" i="6"/>
  <c r="AJ19" i="6"/>
  <c r="AK19" i="6"/>
  <c r="AZ19" i="6"/>
  <c r="AU19" i="6"/>
  <c r="AT19" i="6"/>
  <c r="AS19" i="6"/>
  <c r="AR19" i="6"/>
  <c r="AQ19" i="6"/>
  <c r="AP19" i="6"/>
  <c r="AM19" i="6"/>
  <c r="N19" i="6"/>
  <c r="H18" i="6"/>
  <c r="N18" i="6"/>
  <c r="O18" i="6"/>
  <c r="AE18" i="6"/>
  <c r="AF18" i="6"/>
  <c r="AG18" i="6"/>
  <c r="AH18" i="6"/>
  <c r="AI18" i="6"/>
  <c r="AJ18" i="6"/>
  <c r="AK18" i="6"/>
  <c r="AZ18" i="6"/>
  <c r="AM18" i="6"/>
  <c r="AP18" i="6"/>
  <c r="AQ18" i="6"/>
  <c r="AR18" i="6"/>
  <c r="AS18" i="6"/>
  <c r="AT18" i="6"/>
  <c r="AU18" i="6"/>
  <c r="AX18" i="6"/>
  <c r="AW18" i="6"/>
  <c r="BA18" i="6"/>
  <c r="BB18" i="6"/>
  <c r="M18" i="6"/>
  <c r="N16" i="6"/>
  <c r="O16" i="6"/>
  <c r="AE16" i="6"/>
  <c r="AF16" i="6"/>
  <c r="AG16" i="6"/>
  <c r="AH16" i="6"/>
  <c r="AI16" i="6"/>
  <c r="AJ16" i="6"/>
  <c r="AK16" i="6"/>
  <c r="AZ16" i="6"/>
  <c r="AM16" i="6"/>
  <c r="AP16" i="6"/>
  <c r="AQ16" i="6"/>
  <c r="AR16" i="6"/>
  <c r="AS16" i="6"/>
  <c r="AT16" i="6"/>
  <c r="AU16" i="6"/>
  <c r="AW16" i="6"/>
  <c r="BA16" i="6"/>
  <c r="BB16" i="6"/>
  <c r="M16" i="6"/>
  <c r="N15" i="6"/>
  <c r="O15" i="6"/>
  <c r="AE15" i="6"/>
  <c r="AF15" i="6"/>
  <c r="AG15" i="6"/>
  <c r="AH15" i="6"/>
  <c r="AI15" i="6"/>
  <c r="AJ15" i="6"/>
  <c r="AK15" i="6"/>
  <c r="AZ15" i="6"/>
  <c r="AM15" i="6"/>
  <c r="AP15" i="6"/>
  <c r="AQ15" i="6"/>
  <c r="AR15" i="6"/>
  <c r="AS15" i="6"/>
  <c r="AT15" i="6"/>
  <c r="AU15" i="6"/>
  <c r="AW15" i="6"/>
  <c r="BA15" i="6"/>
  <c r="BB15" i="6"/>
  <c r="M15" i="6"/>
  <c r="N14" i="6"/>
  <c r="O14" i="6"/>
  <c r="AE14" i="6"/>
  <c r="AF14" i="6"/>
  <c r="AG14" i="6"/>
  <c r="AH14" i="6"/>
  <c r="AI14" i="6"/>
  <c r="AJ14" i="6"/>
  <c r="AK14" i="6"/>
  <c r="AZ14" i="6"/>
  <c r="AM14" i="6"/>
  <c r="AP14" i="6"/>
  <c r="AQ14" i="6"/>
  <c r="AR14" i="6"/>
  <c r="AS14" i="6"/>
  <c r="AT14" i="6"/>
  <c r="AU14" i="6"/>
  <c r="AX14" i="6"/>
  <c r="AW14" i="6"/>
  <c r="BA14" i="6"/>
  <c r="BB14" i="6"/>
  <c r="M14" i="6"/>
  <c r="N13" i="6"/>
  <c r="O13" i="6"/>
  <c r="AE13" i="6"/>
  <c r="AF13" i="6"/>
  <c r="AG13" i="6"/>
  <c r="AH13" i="6"/>
  <c r="AI13" i="6"/>
  <c r="AJ13" i="6"/>
  <c r="AK13" i="6"/>
  <c r="AZ13" i="6"/>
  <c r="AM13" i="6"/>
  <c r="AP13" i="6"/>
  <c r="AQ13" i="6"/>
  <c r="AR13" i="6"/>
  <c r="AS13" i="6"/>
  <c r="AT13" i="6"/>
  <c r="AU13" i="6"/>
  <c r="AX13" i="6"/>
  <c r="AW13" i="6"/>
  <c r="BA13" i="6"/>
  <c r="BB13" i="6"/>
  <c r="M13" i="6"/>
  <c r="H11" i="6"/>
  <c r="N11" i="6"/>
  <c r="O11" i="6"/>
  <c r="AE11" i="6"/>
  <c r="AF11" i="6"/>
  <c r="AG11" i="6"/>
  <c r="AH11" i="6"/>
  <c r="AI11" i="6"/>
  <c r="AJ11" i="6"/>
  <c r="AK11" i="6"/>
  <c r="AZ11" i="6"/>
  <c r="AM11" i="6"/>
  <c r="AP11" i="6"/>
  <c r="AQ11" i="6"/>
  <c r="AR11" i="6"/>
  <c r="AS11" i="6"/>
  <c r="AT11" i="6"/>
  <c r="AU11" i="6"/>
  <c r="AV11" i="6"/>
  <c r="AN11" i="6"/>
  <c r="AW11" i="6"/>
  <c r="BA11" i="6"/>
  <c r="BB11" i="6"/>
  <c r="M11" i="6"/>
  <c r="I11" i="6"/>
  <c r="H10" i="6"/>
  <c r="N10" i="6"/>
  <c r="O10" i="6"/>
  <c r="AE10" i="6"/>
  <c r="AF10" i="6"/>
  <c r="AG10" i="6"/>
  <c r="AH10" i="6"/>
  <c r="AI10" i="6"/>
  <c r="AJ10" i="6"/>
  <c r="AK10" i="6"/>
  <c r="AZ10" i="6"/>
  <c r="AM10" i="6"/>
  <c r="AP10" i="6"/>
  <c r="AQ10" i="6"/>
  <c r="AR10" i="6"/>
  <c r="AS10" i="6"/>
  <c r="AT10" i="6"/>
  <c r="AU10" i="6"/>
  <c r="AV10" i="6"/>
  <c r="AN10" i="6"/>
  <c r="AW10" i="6"/>
  <c r="BA10" i="6"/>
  <c r="BB10" i="6"/>
  <c r="M10" i="6"/>
  <c r="I10" i="6"/>
  <c r="H9" i="6"/>
  <c r="N9" i="6"/>
  <c r="O9" i="6"/>
  <c r="AE9" i="6"/>
  <c r="AF9" i="6"/>
  <c r="AG9" i="6"/>
  <c r="AH9" i="6"/>
  <c r="AI9" i="6"/>
  <c r="AJ9" i="6"/>
  <c r="AK9" i="6"/>
  <c r="AZ9" i="6"/>
  <c r="AM9" i="6"/>
  <c r="AP9" i="6"/>
  <c r="AQ9" i="6"/>
  <c r="AR9" i="6"/>
  <c r="AS9" i="6"/>
  <c r="AT9" i="6"/>
  <c r="AU9" i="6"/>
  <c r="AV9" i="6"/>
  <c r="AN9" i="6"/>
  <c r="AW9" i="6"/>
  <c r="BA9" i="6"/>
  <c r="BB9" i="6"/>
  <c r="M9" i="6"/>
  <c r="I9" i="6"/>
  <c r="H8" i="6"/>
  <c r="N8" i="6"/>
  <c r="O8" i="6"/>
  <c r="AE8" i="6"/>
  <c r="AF8" i="6"/>
  <c r="AG8" i="6"/>
  <c r="AH8" i="6"/>
  <c r="AI8" i="6"/>
  <c r="AJ8" i="6"/>
  <c r="AK8" i="6"/>
  <c r="AZ8" i="6"/>
  <c r="AM8" i="6"/>
  <c r="AP8" i="6"/>
  <c r="AQ8" i="6"/>
  <c r="AR8" i="6"/>
  <c r="AS8" i="6"/>
  <c r="AT8" i="6"/>
  <c r="AU8" i="6"/>
  <c r="AV8" i="6"/>
  <c r="AN8" i="6"/>
  <c r="AW8" i="6"/>
  <c r="BA8" i="6"/>
  <c r="BB8" i="6"/>
  <c r="M8" i="6"/>
  <c r="I8" i="6"/>
  <c r="N7" i="6"/>
  <c r="O7" i="6"/>
  <c r="AE7" i="6"/>
  <c r="AF7" i="6"/>
  <c r="AG7" i="6"/>
  <c r="AH7" i="6"/>
  <c r="AI7" i="6"/>
  <c r="AJ7" i="6"/>
  <c r="AK7" i="6"/>
  <c r="AZ7" i="6"/>
  <c r="AM7" i="6"/>
  <c r="AP7" i="6"/>
  <c r="AQ7" i="6"/>
  <c r="AR7" i="6"/>
  <c r="AS7" i="6"/>
  <c r="AT7" i="6"/>
  <c r="AU7" i="6"/>
  <c r="AV7" i="6"/>
  <c r="AN7" i="6"/>
  <c r="AW7" i="6"/>
  <c r="BA7" i="6"/>
  <c r="BB7" i="6"/>
  <c r="M7" i="6"/>
  <c r="I7" i="6"/>
  <c r="N6" i="6"/>
  <c r="O6" i="6"/>
  <c r="AE6" i="6"/>
  <c r="AF6" i="6"/>
  <c r="AG6" i="6"/>
  <c r="AH6" i="6"/>
  <c r="AI6" i="6"/>
  <c r="AJ6" i="6"/>
  <c r="AK6" i="6"/>
  <c r="AZ6" i="6"/>
  <c r="AM6" i="6"/>
  <c r="AP6" i="6"/>
  <c r="AQ6" i="6"/>
  <c r="AR6" i="6"/>
  <c r="AS6" i="6"/>
  <c r="AT6" i="6"/>
  <c r="AU6" i="6"/>
  <c r="AW6" i="6"/>
  <c r="BA6" i="6"/>
  <c r="BB6" i="6"/>
  <c r="M6" i="6"/>
</calcChain>
</file>

<file path=xl/sharedStrings.xml><?xml version="1.0" encoding="utf-8"?>
<sst xmlns="http://schemas.openxmlformats.org/spreadsheetml/2006/main" count="955" uniqueCount="279">
  <si>
    <t>Line Description</t>
  </si>
  <si>
    <t xml:space="preserve">3-8 DL </t>
  </si>
  <si>
    <t>Gasoline</t>
  </si>
  <si>
    <t>OK</t>
  </si>
  <si>
    <t>Yes</t>
  </si>
  <si>
    <t>High Pop Area</t>
  </si>
  <si>
    <t>Med</t>
  </si>
  <si>
    <t>Low</t>
  </si>
  <si>
    <t>Butane</t>
  </si>
  <si>
    <t>CTE</t>
  </si>
  <si>
    <t>High</t>
  </si>
  <si>
    <t xml:space="preserve">10/10 Lube </t>
  </si>
  <si>
    <t>Lubes/Oil</t>
  </si>
  <si>
    <t>High Pop Area/NW</t>
  </si>
  <si>
    <t xml:space="preserve">10INCH  LCGO </t>
  </si>
  <si>
    <t>Diesel Distillate</t>
  </si>
  <si>
    <t xml:space="preserve">1-12 DL </t>
  </si>
  <si>
    <t>Fuel Oil</t>
  </si>
  <si>
    <t>HI Temp</t>
  </si>
  <si>
    <t>12-12 DL</t>
  </si>
  <si>
    <t>1-30   (Leased)</t>
  </si>
  <si>
    <t xml:space="preserve">14 NL </t>
  </si>
  <si>
    <t xml:space="preserve">14"DL (9-8dl)  </t>
  </si>
  <si>
    <t xml:space="preserve">Diesel    </t>
  </si>
  <si>
    <t>Idle</t>
  </si>
  <si>
    <t xml:space="preserve">16 DL </t>
  </si>
  <si>
    <t xml:space="preserve">2-10 DL </t>
  </si>
  <si>
    <t>Avjet</t>
  </si>
  <si>
    <t>2-12DL</t>
  </si>
  <si>
    <t xml:space="preserve">2-14 DL   </t>
  </si>
  <si>
    <t>2-30   (Leased)</t>
  </si>
  <si>
    <t xml:space="preserve">24 in VGO </t>
  </si>
  <si>
    <t>Heavy Gas Oil</t>
  </si>
  <si>
    <t>FBE</t>
  </si>
  <si>
    <t xml:space="preserve">2-8 NL </t>
  </si>
  <si>
    <t xml:space="preserve">3-10-DL </t>
  </si>
  <si>
    <t>Diesel</t>
  </si>
  <si>
    <t xml:space="preserve">3-12 DL  </t>
  </si>
  <si>
    <t>3-30 DOT (Leased)</t>
  </si>
  <si>
    <t>OOS</t>
  </si>
  <si>
    <t>3-4 Avjet</t>
  </si>
  <si>
    <t>N/A</t>
  </si>
  <si>
    <t xml:space="preserve">3-6 Lube </t>
  </si>
  <si>
    <t>Lube oil / Diesel</t>
  </si>
  <si>
    <t xml:space="preserve">4-10 DL </t>
  </si>
  <si>
    <t xml:space="preserve">4-12 DL </t>
  </si>
  <si>
    <t>4-4 Butane</t>
  </si>
  <si>
    <t xml:space="preserve">4-6 DL </t>
  </si>
  <si>
    <t xml:space="preserve">4-8 NL (1-6) </t>
  </si>
  <si>
    <t>Gas Oil</t>
  </si>
  <si>
    <t xml:space="preserve">4IN PROP </t>
  </si>
  <si>
    <t>Propylene - OOS</t>
  </si>
  <si>
    <t xml:space="preserve">5-6 Lube </t>
  </si>
  <si>
    <t xml:space="preserve">Lube oil </t>
  </si>
  <si>
    <t xml:space="preserve">5-8 NL </t>
  </si>
  <si>
    <t>Fuel Oil Resid</t>
  </si>
  <si>
    <t xml:space="preserve">6-6 Lube </t>
  </si>
  <si>
    <t>Lubes Oil</t>
  </si>
  <si>
    <t xml:space="preserve">6-8 NL  </t>
  </si>
  <si>
    <t xml:space="preserve">7-6- ML </t>
  </si>
  <si>
    <t xml:space="preserve">8" Ballast </t>
  </si>
  <si>
    <t>Water/Oil</t>
  </si>
  <si>
    <t xml:space="preserve">8-10 ML </t>
  </si>
  <si>
    <t xml:space="preserve">8-8 Lube </t>
  </si>
  <si>
    <t xml:space="preserve">9-12 DL </t>
  </si>
  <si>
    <t>SLPS-CAVERNS, In Plant Pipe</t>
  </si>
  <si>
    <t xml:space="preserve">7-6 DL / 12IN  </t>
  </si>
  <si>
    <t>Navigable Waterway</t>
  </si>
  <si>
    <t xml:space="preserve">6-10  </t>
  </si>
  <si>
    <t>Avgas</t>
  </si>
  <si>
    <t xml:space="preserve">2-14 DL  </t>
  </si>
  <si>
    <t>11-12 DL</t>
  </si>
  <si>
    <t>3-10</t>
  </si>
  <si>
    <t>10-12</t>
  </si>
  <si>
    <t>14 ULSD</t>
  </si>
  <si>
    <t>ULSD Diesel</t>
  </si>
  <si>
    <t>24 ULSD</t>
  </si>
  <si>
    <t>9-8 Avjet</t>
  </si>
  <si>
    <t>4-12/8-12 Avjet</t>
  </si>
  <si>
    <t>16 FO</t>
  </si>
  <si>
    <t>1-10 FO</t>
  </si>
  <si>
    <t>2-10 DL</t>
  </si>
  <si>
    <t>4-6 DL</t>
  </si>
  <si>
    <t>1-6  HCGO</t>
  </si>
  <si>
    <t>Heavy Cycle Gas Oil (H2S?)</t>
  </si>
  <si>
    <r>
      <t>8 BS&amp;W/14</t>
    </r>
    <r>
      <rPr>
        <i/>
        <sz val="11"/>
        <color theme="1"/>
        <rFont val="Calibri"/>
        <family val="2"/>
        <scheme val="minor"/>
      </rPr>
      <t xml:space="preserve"> </t>
    </r>
    <r>
      <rPr>
        <sz val="11"/>
        <color theme="1"/>
        <rFont val="Calibri"/>
        <family val="2"/>
        <scheme val="minor"/>
      </rPr>
      <t>Crude</t>
    </r>
  </si>
  <si>
    <t>Ballast (Oily Water)</t>
  </si>
  <si>
    <t>Elevation</t>
  </si>
  <si>
    <t>Up</t>
  </si>
  <si>
    <t>Down</t>
  </si>
  <si>
    <t>Line Fill Volume (BBL)</t>
  </si>
  <si>
    <t>Length (mi)</t>
  </si>
  <si>
    <t>Potential Spill</t>
  </si>
  <si>
    <t>Potential Spill (BBL)</t>
  </si>
  <si>
    <t>Diameter of Pipeline (in)</t>
  </si>
  <si>
    <t>Pipeline Diameter (2) (in)</t>
  </si>
  <si>
    <t>Max</t>
  </si>
  <si>
    <t>Flow Rate (BBL/H)</t>
  </si>
  <si>
    <t>Hydraulic gradient of the pipeline. Normal Flow Rate (PSI/mi)</t>
  </si>
  <si>
    <t>Min</t>
  </si>
  <si>
    <t>Large (20%)</t>
  </si>
  <si>
    <t>Small (2%)</t>
  </si>
  <si>
    <t>Leak Response Time (hrs)</t>
  </si>
  <si>
    <t>CONSEQUENCE SCORE</t>
  </si>
  <si>
    <t>Drainage</t>
  </si>
  <si>
    <t>No. of Road / RR Crossings</t>
  </si>
  <si>
    <t>Service</t>
  </si>
  <si>
    <t>Fluid Type</t>
  </si>
  <si>
    <t>High Population</t>
  </si>
  <si>
    <t>Pop. / Water</t>
  </si>
  <si>
    <t>Volatility</t>
  </si>
  <si>
    <t xml:space="preserve">Jurisdiction </t>
  </si>
  <si>
    <t>Road/RR Crossings</t>
  </si>
  <si>
    <t>THREAT SCORE</t>
  </si>
  <si>
    <t>Line Pigged and OK</t>
  </si>
  <si>
    <t>Tidal Surge</t>
  </si>
  <si>
    <t>No. of Previous Leaks</t>
  </si>
  <si>
    <t>Previous Leaks</t>
  </si>
  <si>
    <t>Inspection (factor)</t>
  </si>
  <si>
    <t>Operating Temp</t>
  </si>
  <si>
    <t>Pipe Date</t>
  </si>
  <si>
    <t>Age</t>
  </si>
  <si>
    <t>Wall Thickness</t>
  </si>
  <si>
    <t>Wall</t>
  </si>
  <si>
    <t>Last Test Date</t>
  </si>
  <si>
    <t>Last Test</t>
  </si>
  <si>
    <t>Stress %</t>
  </si>
  <si>
    <t>Stress</t>
  </si>
  <si>
    <t>Current Construction Stds (factor)</t>
  </si>
  <si>
    <t>Consequence</t>
  </si>
  <si>
    <t>TOTALS</t>
  </si>
  <si>
    <t>Threat</t>
  </si>
  <si>
    <t>Risk</t>
  </si>
  <si>
    <t>Supported</t>
  </si>
  <si>
    <t>Pipe Coating</t>
  </si>
  <si>
    <t>#0 6 BUTANE - 001</t>
  </si>
  <si>
    <t>#0 6 BUTANE - 002</t>
  </si>
  <si>
    <t>#0 6 BUTANE - 003</t>
  </si>
  <si>
    <t>#0 6 BUTANE - 004</t>
  </si>
  <si>
    <t>#0 6 BUTANE - 005</t>
  </si>
  <si>
    <t>No. of Canal Crossings</t>
  </si>
  <si>
    <t>Canal Crossings</t>
  </si>
  <si>
    <t>Pipe Coating (factor)</t>
  </si>
  <si>
    <t>Confirm and place O/S</t>
  </si>
  <si>
    <t>Known high-risk line</t>
  </si>
  <si>
    <t>Older, long leak history - check repairs</t>
  </si>
  <si>
    <t>Older, leak history, higher stress, rate</t>
  </si>
  <si>
    <t>Older, higher stress</t>
  </si>
  <si>
    <t>Long leak history - check repairs</t>
  </si>
  <si>
    <t>Higher rate, stress level</t>
  </si>
  <si>
    <t>Butane, high population / consequences</t>
  </si>
  <si>
    <t>Higher rate, smaller wall thickness</t>
  </si>
  <si>
    <t>Older, leak history, higher stress and rate</t>
  </si>
  <si>
    <t>NOTES</t>
  </si>
  <si>
    <t>Maximum</t>
  </si>
  <si>
    <t>Current</t>
  </si>
  <si>
    <t>After Mitigation</t>
  </si>
  <si>
    <t>Mean</t>
  </si>
  <si>
    <t>Median</t>
  </si>
  <si>
    <t>#0 6 BUTANE - 06</t>
  </si>
  <si>
    <t>PL Sect 01-1</t>
  </si>
  <si>
    <t>PL Sect 01-2</t>
  </si>
  <si>
    <t>PL Sect 01-3</t>
  </si>
  <si>
    <t>PL Sect 01-4</t>
  </si>
  <si>
    <t>PL Sect 01-5</t>
  </si>
  <si>
    <t>PL Sect 01-6</t>
  </si>
  <si>
    <t>PL Sect 01-7</t>
  </si>
  <si>
    <t>PL Sect 01-8</t>
  </si>
  <si>
    <t>PL Sect 01-9</t>
  </si>
  <si>
    <t>PL Sect 01-10</t>
  </si>
  <si>
    <t>PL Sect 01-13</t>
  </si>
  <si>
    <t>PL Sect 01-14</t>
  </si>
  <si>
    <t>PL Sect 01-15</t>
  </si>
  <si>
    <t>PL Sect 01-17</t>
  </si>
  <si>
    <t>PL Sect 01-20</t>
  </si>
  <si>
    <t>PL Sect 01-21</t>
  </si>
  <si>
    <t>PL Sect 01-22</t>
  </si>
  <si>
    <t>PL Sect 01-25</t>
  </si>
  <si>
    <t>PL Sect 01-26</t>
  </si>
  <si>
    <t>PL Sect 01-27</t>
  </si>
  <si>
    <t>PL Sect 01-28</t>
  </si>
  <si>
    <t>PL Sect 01-29</t>
  </si>
  <si>
    <t>PL Sect 01-30</t>
  </si>
  <si>
    <t>PL Sect 01-31</t>
  </si>
  <si>
    <t>PL Sect 01-32</t>
  </si>
  <si>
    <t>PL Sect 01-33</t>
  </si>
  <si>
    <t>PL Sect 01-34</t>
  </si>
  <si>
    <t>PL Sect 01-35</t>
  </si>
  <si>
    <t>PL Sect 01-36</t>
  </si>
  <si>
    <t>PL Sect 01-38</t>
  </si>
  <si>
    <t>PL Sect 01-39</t>
  </si>
  <si>
    <t>PL Sect 01-40</t>
  </si>
  <si>
    <t>Ground Movement</t>
  </si>
  <si>
    <t>Access Difficulties</t>
  </si>
  <si>
    <t>Physical Supports</t>
  </si>
  <si>
    <t>Flow Rate (Security of Supply)</t>
  </si>
  <si>
    <t>Corrosion</t>
  </si>
  <si>
    <t>INPUTS</t>
  </si>
  <si>
    <t>Non-Std Install</t>
  </si>
  <si>
    <t>THREAT SCORES</t>
  </si>
  <si>
    <t>TOTAL</t>
  </si>
  <si>
    <t>WEIGHTS / MULTIPLIERS</t>
  </si>
  <si>
    <t>If Yes</t>
  </si>
  <si>
    <t>Per BPH flow</t>
  </si>
  <si>
    <t>Lube Oil</t>
  </si>
  <si>
    <t>Potential Drainage Volume bbl</t>
  </si>
  <si>
    <t>Isolation of Large Leaks hrs.</t>
  </si>
  <si>
    <t>Isolation of Small Leaks hrs.</t>
  </si>
  <si>
    <t>Flow Rate bbl/hr</t>
  </si>
  <si>
    <t>Any HCA Risk</t>
  </si>
  <si>
    <t>If yes</t>
  </si>
  <si>
    <t>LVL</t>
  </si>
  <si>
    <t>HVL</t>
  </si>
  <si>
    <t>CONSEQUENCE SCORES</t>
  </si>
  <si>
    <t>HCA</t>
  </si>
  <si>
    <t>TOTAL Active + Drain bbl</t>
  </si>
  <si>
    <t>PRODUCT</t>
  </si>
  <si>
    <t>Isolation = Detection + Shutoff Times</t>
  </si>
  <si>
    <t>Small Active Loss bbl</t>
  </si>
  <si>
    <t>Large Active Loss bbl</t>
  </si>
  <si>
    <t>Worst Active Loss bbl</t>
  </si>
  <si>
    <t>LD Reliability %</t>
  </si>
  <si>
    <t>Previous Testing</t>
  </si>
  <si>
    <t>Inspection Results</t>
  </si>
  <si>
    <t>Known Corrosion</t>
  </si>
  <si>
    <t>CP Checks</t>
  </si>
  <si>
    <t>Hydro Interval (Yrs)</t>
  </si>
  <si>
    <t>Stress % SMYS</t>
  </si>
  <si>
    <t>Natural Forces</t>
  </si>
  <si>
    <t>Pigged</t>
  </si>
  <si>
    <t>If corrosion</t>
  </si>
  <si>
    <t>Per leak</t>
  </si>
  <si>
    <t>If Hi Temp</t>
  </si>
  <si>
    <t>Per % wall loss</t>
  </si>
  <si>
    <t>If OK</t>
  </si>
  <si>
    <t>Per Year</t>
  </si>
  <si>
    <t>/Yr (&lt;1949)</t>
  </si>
  <si>
    <t>Per % SMYS</t>
  </si>
  <si>
    <t>External Insp</t>
  </si>
  <si>
    <t>Per MPY rate</t>
  </si>
  <si>
    <t>/Yr (&lt;1970)</t>
  </si>
  <si>
    <t>/Yr (&gt;1970)</t>
  </si>
  <si>
    <t>External</t>
  </si>
  <si>
    <t>Flood</t>
  </si>
  <si>
    <t>No</t>
  </si>
  <si>
    <t>None</t>
  </si>
  <si>
    <t>Non-Std</t>
  </si>
  <si>
    <t xml:space="preserve">Bayou/Canal </t>
  </si>
  <si>
    <t>5 MPY</t>
  </si>
  <si>
    <t>2 Canal/Ditch</t>
  </si>
  <si>
    <t>OR: Just input relative threat scores from Integrity Management</t>
  </si>
  <si>
    <t>If a risk of failure analysis has already been performed, just input the relative threat of failure in the last column</t>
  </si>
  <si>
    <t>SEGMENTS</t>
  </si>
  <si>
    <t>LEAK DETECTION PERFORMANCE</t>
  </si>
  <si>
    <t>WORST POTENTIAL LOSS SIZE</t>
  </si>
  <si>
    <t>Abnormal High Pressure</t>
  </si>
  <si>
    <t>Weak Support Structures</t>
  </si>
  <si>
    <t>In an HCA</t>
  </si>
  <si>
    <t>Drainage to an HCA</t>
  </si>
  <si>
    <t xml:space="preserve">Water leading to HCA </t>
  </si>
  <si>
    <t xml:space="preserve">Field irrigation to HCA </t>
  </si>
  <si>
    <t xml:space="preserve">Ditch to HCA </t>
  </si>
  <si>
    <t>Other pathways to HCA</t>
  </si>
  <si>
    <t xml:space="preserve">Weak Support Structures </t>
  </si>
  <si>
    <t>Old Bridge</t>
  </si>
  <si>
    <t>Impact</t>
  </si>
  <si>
    <t>RISK THRESHOLDS</t>
  </si>
  <si>
    <t>Design</t>
  </si>
  <si>
    <t>This Worksheet is an example, and generally is not necessary</t>
  </si>
  <si>
    <t>www.kiefner.com</t>
  </si>
  <si>
    <t>T +1 (614) 888-8220, F +1(614) 888-7323</t>
  </si>
  <si>
    <t>Columbus, OH 43219</t>
  </si>
  <si>
    <t>4480 Bridgeway Avenue, Suite D</t>
  </si>
  <si>
    <t>Kiefner &amp; Associates</t>
  </si>
  <si>
    <t>Examples and Templates</t>
  </si>
  <si>
    <t>Improving Leak Detection System Design, Redundancy and Accuracy</t>
  </si>
  <si>
    <t>PHMSA Project DTPH-5615H00007</t>
  </si>
  <si>
    <t>Kiefner and Associates, Inc. shall not be liable for any decisions made by the U.S. Department of Transportation, Pipeline and Hazardous Materials Safety Administration, (hereinafter referenced herein as PHMSA), using these Excel Spreadsheet calculations, known as “Basic Risk Assessment Template – Hazardous Liquids Pipelines”  Further, the equations contained in the Basic Risk Assessment – Hazardous Liquids Pipelines are confidential and the intellectual property of Kiefner and Associates, Inc. and shall be maintained by PHMSA in accordance with Agreement #DTPH5614H00007, “Improving Leak Detection System Design Redundancy and Accuracy” executed by and between Kiefner and Associates, Inc. and PHMSA on December 31, 2013, and any subsequent executed Modifications to same.</t>
  </si>
  <si>
    <t>Basic Risk Assessment Template - Hazardous Liquid Pipelines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</si>
</sst>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3" x14ac:knownFonts="1">
    <font>
      <sz val="11"/>
      <color theme="1"/>
      <name val="Calibri"/>
      <family val="2"/>
      <scheme val="minor"/>
    </font>
    <font>
      <b/>
      <sz val="11"/>
      <color theme="1"/>
      <name val="Calibri"/>
      <family val="2"/>
      <scheme val="minor"/>
    </font>
    <font>
      <sz val="10"/>
      <color indexed="8"/>
      <name val="Arial"/>
      <family val="2"/>
    </font>
    <font>
      <i/>
      <sz val="11"/>
      <color theme="1"/>
      <name val="Calibri"/>
      <family val="2"/>
      <scheme val="minor"/>
    </font>
    <font>
      <sz val="8"/>
      <color theme="1"/>
      <name val="Calibri"/>
      <family val="2"/>
      <scheme val="minor"/>
    </font>
    <font>
      <sz val="10"/>
      <name val="Arial"/>
      <family val="2"/>
    </font>
    <font>
      <u/>
      <sz val="11"/>
      <color theme="10"/>
      <name val="Calibri"/>
      <family val="2"/>
      <scheme val="minor"/>
    </font>
    <font>
      <u/>
      <sz val="11"/>
      <color theme="11"/>
      <name val="Calibri"/>
      <family val="2"/>
      <scheme val="minor"/>
    </font>
    <font>
      <sz val="10"/>
      <color rgb="FF000000"/>
      <name val="Arial"/>
      <family val="2"/>
    </font>
    <font>
      <b/>
      <sz val="12"/>
      <color theme="1"/>
      <name val="Calibri"/>
      <family val="2"/>
      <scheme val="minor"/>
    </font>
    <font>
      <b/>
      <sz val="11"/>
      <color theme="1"/>
      <name val="Tahoma"/>
      <family val="2"/>
    </font>
    <font>
      <sz val="10"/>
      <color rgb="FF000000"/>
      <name val="Segoe UI"/>
      <family val="2"/>
    </font>
    <font>
      <sz val="10"/>
      <color rgb="FF000000"/>
      <name val="Tahoma"/>
      <family val="2"/>
    </font>
  </fonts>
  <fills count="9">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s>
  <borders count="9">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style="double">
        <color auto="1"/>
      </bottom>
      <diagonal/>
    </border>
    <border>
      <left style="thin">
        <color auto="1"/>
      </left>
      <right/>
      <top/>
      <bottom/>
      <diagonal/>
    </border>
  </borders>
  <cellStyleXfs count="470">
    <xf numFmtId="0" fontId="0" fillId="0" borderId="0"/>
    <xf numFmtId="0" fontId="5" fillId="0" borderId="0"/>
    <xf numFmtId="9"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112">
    <xf numFmtId="0" fontId="0" fillId="0" borderId="0" xfId="0"/>
    <xf numFmtId="0" fontId="0" fillId="0" borderId="0" xfId="0" applyAlignment="1">
      <alignment horizontal="center"/>
    </xf>
    <xf numFmtId="0" fontId="0" fillId="0" borderId="0" xfId="0" applyBorder="1"/>
    <xf numFmtId="0" fontId="1" fillId="2" borderId="3" xfId="0" applyFont="1" applyFill="1" applyBorder="1" applyAlignment="1">
      <alignment horizontal="center" vertical="center" wrapText="1"/>
    </xf>
    <xf numFmtId="49" fontId="1" fillId="2" borderId="3" xfId="0" applyNumberFormat="1" applyFont="1" applyFill="1" applyBorder="1" applyAlignment="1">
      <alignment horizontal="center" vertical="center"/>
    </xf>
    <xf numFmtId="0" fontId="0" fillId="0" borderId="0" xfId="0" applyBorder="1" applyAlignment="1">
      <alignment horizontal="center"/>
    </xf>
    <xf numFmtId="0" fontId="0" fillId="0" borderId="3" xfId="0" applyBorder="1" applyAlignment="1">
      <alignment horizontal="center"/>
    </xf>
    <xf numFmtId="49" fontId="2" fillId="0" borderId="3" xfId="0" applyNumberFormat="1" applyFont="1" applyFill="1" applyBorder="1" applyAlignment="1">
      <alignment horizontal="center" wrapText="1"/>
    </xf>
    <xf numFmtId="0" fontId="0" fillId="0" borderId="1" xfId="0" applyBorder="1" applyAlignment="1">
      <alignment horizontal="center"/>
    </xf>
    <xf numFmtId="49" fontId="0" fillId="0" borderId="3" xfId="0" applyNumberFormat="1" applyFill="1" applyBorder="1" applyAlignment="1">
      <alignment horizontal="center"/>
    </xf>
    <xf numFmtId="0" fontId="4" fillId="0" borderId="0" xfId="0" applyFont="1" applyAlignment="1">
      <alignment horizontal="centerContinuous"/>
    </xf>
    <xf numFmtId="2" fontId="0" fillId="0" borderId="0" xfId="0" applyNumberFormat="1"/>
    <xf numFmtId="1" fontId="0" fillId="0" borderId="0" xfId="0" applyNumberFormat="1" applyBorder="1" applyAlignment="1">
      <alignment horizontal="center"/>
    </xf>
    <xf numFmtId="1" fontId="0" fillId="0" borderId="0" xfId="0" applyNumberFormat="1" applyBorder="1"/>
    <xf numFmtId="2" fontId="0" fillId="0" borderId="0" xfId="0" applyNumberFormat="1" applyBorder="1"/>
    <xf numFmtId="3" fontId="0" fillId="0" borderId="0" xfId="0" applyNumberFormat="1" applyBorder="1" applyAlignment="1">
      <alignment horizontal="center"/>
    </xf>
    <xf numFmtId="49" fontId="0" fillId="0" borderId="0" xfId="0" applyNumberFormat="1" applyBorder="1" applyAlignment="1">
      <alignment horizontal="center"/>
    </xf>
    <xf numFmtId="0" fontId="1" fillId="2" borderId="5" xfId="0" applyFont="1" applyFill="1" applyBorder="1" applyAlignment="1">
      <alignment horizontal="center" vertical="center" wrapText="1"/>
    </xf>
    <xf numFmtId="49" fontId="2" fillId="0" borderId="1" xfId="0" applyNumberFormat="1" applyFont="1" applyFill="1" applyBorder="1" applyAlignment="1">
      <alignment horizontal="center" wrapText="1"/>
    </xf>
    <xf numFmtId="49" fontId="1" fillId="4" borderId="3" xfId="0" applyNumberFormat="1" applyFont="1" applyFill="1" applyBorder="1" applyAlignment="1">
      <alignment horizontal="center" vertical="center" wrapText="1"/>
    </xf>
    <xf numFmtId="14" fontId="0" fillId="0" borderId="0" xfId="0" applyNumberFormat="1"/>
    <xf numFmtId="10" fontId="0" fillId="0" borderId="0" xfId="0" applyNumberFormat="1"/>
    <xf numFmtId="49" fontId="1" fillId="5" borderId="3" xfId="0" applyNumberFormat="1" applyFont="1" applyFill="1" applyBorder="1" applyAlignment="1">
      <alignment horizontal="center" vertical="center" wrapText="1"/>
    </xf>
    <xf numFmtId="0" fontId="1" fillId="0" borderId="0" xfId="0" applyFont="1"/>
    <xf numFmtId="0" fontId="0" fillId="0" borderId="0" xfId="0" applyFill="1" applyBorder="1"/>
    <xf numFmtId="1" fontId="0" fillId="0" borderId="0" xfId="0" applyNumberFormat="1" applyFill="1" applyBorder="1" applyAlignment="1">
      <alignment horizontal="center"/>
    </xf>
    <xf numFmtId="49" fontId="0" fillId="0" borderId="0" xfId="0" applyNumberFormat="1" applyFill="1" applyBorder="1" applyAlignment="1">
      <alignment horizontal="center"/>
    </xf>
    <xf numFmtId="1" fontId="0" fillId="0" borderId="0" xfId="0" applyNumberFormat="1" applyFill="1" applyBorder="1"/>
    <xf numFmtId="0" fontId="0" fillId="0" borderId="0" xfId="0" applyFill="1" applyBorder="1" applyAlignment="1">
      <alignment horizontal="center"/>
    </xf>
    <xf numFmtId="49" fontId="0" fillId="6" borderId="3" xfId="0" applyNumberFormat="1" applyFill="1" applyBorder="1" applyAlignment="1">
      <alignment horizontal="center"/>
    </xf>
    <xf numFmtId="0" fontId="0" fillId="6" borderId="0" xfId="0" applyFill="1" applyBorder="1"/>
    <xf numFmtId="1" fontId="0" fillId="6" borderId="0" xfId="0" applyNumberFormat="1" applyFill="1" applyBorder="1" applyAlignment="1">
      <alignment horizontal="center"/>
    </xf>
    <xf numFmtId="0" fontId="0" fillId="6" borderId="0" xfId="0" applyFill="1" applyBorder="1" applyAlignment="1">
      <alignment horizontal="center"/>
    </xf>
    <xf numFmtId="1" fontId="0" fillId="6" borderId="0" xfId="0" applyNumberFormat="1" applyFill="1" applyBorder="1"/>
    <xf numFmtId="0" fontId="0" fillId="6" borderId="0" xfId="0" applyFill="1"/>
    <xf numFmtId="14" fontId="0" fillId="6" borderId="0" xfId="0" applyNumberFormat="1" applyFill="1"/>
    <xf numFmtId="10" fontId="0" fillId="6" borderId="0" xfId="0" applyNumberFormat="1" applyFill="1"/>
    <xf numFmtId="2" fontId="0" fillId="6" borderId="0" xfId="0" applyNumberFormat="1" applyFill="1"/>
    <xf numFmtId="49" fontId="0" fillId="7" borderId="3" xfId="0" applyNumberFormat="1" applyFill="1" applyBorder="1" applyAlignment="1">
      <alignment horizontal="center"/>
    </xf>
    <xf numFmtId="0" fontId="0" fillId="7" borderId="0" xfId="0" applyFill="1" applyBorder="1"/>
    <xf numFmtId="1" fontId="0" fillId="7" borderId="0" xfId="0" applyNumberFormat="1" applyFill="1" applyBorder="1" applyAlignment="1">
      <alignment horizontal="center"/>
    </xf>
    <xf numFmtId="0" fontId="0" fillId="7" borderId="0" xfId="0" applyFill="1" applyBorder="1" applyAlignment="1">
      <alignment horizontal="center"/>
    </xf>
    <xf numFmtId="1" fontId="0" fillId="7" borderId="0" xfId="0" applyNumberFormat="1" applyFill="1" applyBorder="1"/>
    <xf numFmtId="0" fontId="0" fillId="7" borderId="0" xfId="0" applyFill="1"/>
    <xf numFmtId="14" fontId="0" fillId="7" borderId="0" xfId="0" applyNumberFormat="1" applyFill="1"/>
    <xf numFmtId="10" fontId="0" fillId="7" borderId="0" xfId="0" applyNumberFormat="1" applyFill="1"/>
    <xf numFmtId="2" fontId="0" fillId="7" borderId="0" xfId="0" applyNumberFormat="1" applyFill="1"/>
    <xf numFmtId="0" fontId="0" fillId="0" borderId="0" xfId="0" applyFill="1"/>
    <xf numFmtId="164" fontId="0" fillId="0" borderId="0" xfId="0" applyNumberFormat="1"/>
    <xf numFmtId="49" fontId="1" fillId="8"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0" fillId="0" borderId="1" xfId="0" applyNumberFormat="1" applyFill="1" applyBorder="1" applyAlignment="1">
      <alignment horizontal="center"/>
    </xf>
    <xf numFmtId="1" fontId="0" fillId="3" borderId="0" xfId="0" applyNumberFormat="1" applyFill="1" applyBorder="1" applyAlignment="1">
      <alignment horizontal="center"/>
    </xf>
    <xf numFmtId="0" fontId="0" fillId="3" borderId="0" xfId="0" applyFill="1" applyBorder="1" applyAlignment="1">
      <alignment horizontal="center"/>
    </xf>
    <xf numFmtId="1" fontId="0" fillId="3" borderId="0" xfId="0" applyNumberFormat="1" applyFill="1" applyBorder="1"/>
    <xf numFmtId="10" fontId="0" fillId="3" borderId="0" xfId="0" applyNumberFormat="1" applyFill="1"/>
    <xf numFmtId="0" fontId="0" fillId="3" borderId="0" xfId="0" applyFill="1"/>
    <xf numFmtId="1" fontId="0" fillId="0" borderId="3" xfId="0" applyNumberFormat="1" applyBorder="1"/>
    <xf numFmtId="0" fontId="1" fillId="7" borderId="3" xfId="0" applyFont="1" applyFill="1" applyBorder="1"/>
    <xf numFmtId="0" fontId="1" fillId="7" borderId="3" xfId="0" applyFont="1" applyFill="1" applyBorder="1" applyAlignment="1">
      <alignment horizontal="right"/>
    </xf>
    <xf numFmtId="49" fontId="8" fillId="0" borderId="3" xfId="0" applyNumberFormat="1" applyFont="1" applyBorder="1" applyAlignment="1">
      <alignment horizontal="center" wrapText="1"/>
    </xf>
    <xf numFmtId="49" fontId="8" fillId="0" borderId="1" xfId="0" applyNumberFormat="1" applyFont="1" applyBorder="1" applyAlignment="1">
      <alignment horizontal="center" wrapText="1"/>
    </xf>
    <xf numFmtId="0" fontId="0" fillId="0" borderId="3" xfId="0" applyNumberFormat="1" applyBorder="1" applyAlignment="1">
      <alignment horizontal="center"/>
    </xf>
    <xf numFmtId="2" fontId="0" fillId="0" borderId="3" xfId="0" applyNumberFormat="1" applyBorder="1" applyAlignment="1">
      <alignment horizontal="center"/>
    </xf>
    <xf numFmtId="0" fontId="0" fillId="0" borderId="3" xfId="0" applyBorder="1"/>
    <xf numFmtId="49" fontId="1" fillId="7" borderId="3" xfId="0" applyNumberFormat="1" applyFont="1" applyFill="1" applyBorder="1" applyAlignment="1">
      <alignment horizontal="center" vertical="center" wrapText="1"/>
    </xf>
    <xf numFmtId="1" fontId="0" fillId="0" borderId="3" xfId="0" applyNumberFormat="1" applyBorder="1" applyAlignment="1">
      <alignment horizontal="center"/>
    </xf>
    <xf numFmtId="1" fontId="0" fillId="0" borderId="7" xfId="0" applyNumberFormat="1" applyBorder="1" applyAlignment="1">
      <alignment horizontal="center"/>
    </xf>
    <xf numFmtId="2" fontId="0" fillId="0" borderId="2" xfId="0" applyNumberFormat="1" applyFill="1" applyBorder="1" applyAlignment="1">
      <alignment horizontal="center"/>
    </xf>
    <xf numFmtId="2" fontId="0" fillId="0" borderId="3" xfId="0" applyNumberFormat="1" applyBorder="1"/>
    <xf numFmtId="2" fontId="0" fillId="0" borderId="3" xfId="0" applyNumberFormat="1" applyFill="1" applyBorder="1"/>
    <xf numFmtId="0" fontId="0" fillId="0" borderId="3" xfId="0" applyFill="1" applyBorder="1" applyAlignment="1">
      <alignment horizontal="center"/>
    </xf>
    <xf numFmtId="49" fontId="1" fillId="2" borderId="3" xfId="0" applyNumberFormat="1" applyFont="1" applyFill="1" applyBorder="1" applyAlignment="1">
      <alignment horizontal="center" vertical="center" wrapText="1"/>
    </xf>
    <xf numFmtId="9" fontId="0" fillId="0" borderId="3" xfId="0" applyNumberFormat="1" applyBorder="1" applyAlignment="1">
      <alignment horizontal="center"/>
    </xf>
    <xf numFmtId="0" fontId="9" fillId="0" borderId="0" xfId="0" applyFont="1"/>
    <xf numFmtId="14" fontId="0" fillId="0" borderId="3" xfId="0" applyNumberFormat="1" applyBorder="1"/>
    <xf numFmtId="10" fontId="0" fillId="0" borderId="1" xfId="0" applyNumberFormat="1" applyBorder="1" applyAlignment="1">
      <alignment horizontal="center"/>
    </xf>
    <xf numFmtId="10" fontId="0" fillId="0" borderId="3" xfId="0" applyNumberFormat="1" applyBorder="1" applyAlignment="1">
      <alignment horizontal="center"/>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0" borderId="3" xfId="0" applyFont="1" applyBorder="1"/>
    <xf numFmtId="0" fontId="0" fillId="0" borderId="3" xfId="0" applyFill="1" applyBorder="1"/>
    <xf numFmtId="0" fontId="1" fillId="0" borderId="3" xfId="0" applyFont="1" applyFill="1" applyBorder="1"/>
    <xf numFmtId="0" fontId="6" fillId="0" borderId="0" xfId="469"/>
    <xf numFmtId="49" fontId="1" fillId="8" borderId="4" xfId="0" applyNumberFormat="1" applyFont="1" applyFill="1" applyBorder="1" applyAlignment="1">
      <alignment horizontal="center" vertical="center" wrapText="1"/>
    </xf>
    <xf numFmtId="49" fontId="1" fillId="8" borderId="6" xfId="0" applyNumberFormat="1" applyFont="1" applyFill="1" applyBorder="1" applyAlignment="1">
      <alignment horizontal="center" vertical="center" wrapText="1"/>
    </xf>
    <xf numFmtId="49" fontId="1" fillId="8" borderId="5" xfId="0" applyNumberFormat="1" applyFont="1" applyFill="1" applyBorder="1" applyAlignment="1">
      <alignment horizontal="center" vertical="center" wrapText="1"/>
    </xf>
    <xf numFmtId="1" fontId="0" fillId="0" borderId="0" xfId="0" applyNumberFormat="1" applyBorder="1" applyAlignment="1">
      <alignment horizontal="center" vertical="center"/>
    </xf>
    <xf numFmtId="49" fontId="1" fillId="4" borderId="4" xfId="0" applyNumberFormat="1" applyFont="1" applyFill="1" applyBorder="1" applyAlignment="1">
      <alignment horizontal="center" vertical="center" wrapText="1"/>
    </xf>
    <xf numFmtId="49" fontId="1" fillId="4" borderId="6" xfId="0" applyNumberFormat="1" applyFont="1" applyFill="1" applyBorder="1" applyAlignment="1">
      <alignment horizontal="center" vertical="center" wrapText="1"/>
    </xf>
    <xf numFmtId="49" fontId="1" fillId="4" borderId="5" xfId="0" applyNumberFormat="1"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49" fontId="1" fillId="5" borderId="5"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left" vertical="center" wrapText="1"/>
    </xf>
    <xf numFmtId="0" fontId="11" fillId="0" borderId="0" xfId="0" applyFont="1" applyAlignment="1">
      <alignment horizontal="left" vertical="center" wrapText="1"/>
    </xf>
    <xf numFmtId="49" fontId="1" fillId="7"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0" xfId="0" applyFont="1" applyFill="1" applyAlignment="1">
      <alignment horizontal="center"/>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 fillId="7" borderId="6" xfId="0" applyNumberFormat="1" applyFont="1" applyFill="1" applyBorder="1" applyAlignment="1">
      <alignment horizontal="center" vertical="center" wrapText="1"/>
    </xf>
    <xf numFmtId="49" fontId="1" fillId="7" borderId="5" xfId="0" applyNumberFormat="1" applyFont="1" applyFill="1" applyBorder="1" applyAlignment="1">
      <alignment horizontal="center" vertical="center" wrapText="1"/>
    </xf>
  </cellXfs>
  <cellStyles count="47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cellStyle name="Normal" xfId="0" builtinId="0"/>
    <cellStyle name="Normal 2" xfId="1"/>
    <cellStyle name="Percent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scatterChart>
        <c:scatterStyle val="lineMarker"/>
        <c:varyColors val="0"/>
        <c:ser>
          <c:idx val="0"/>
          <c:order val="0"/>
          <c:spPr>
            <a:ln w="47625">
              <a:noFill/>
            </a:ln>
          </c:spPr>
          <c:yVal>
            <c:numRef>
              <c:f>'Risk Sorted'!$E$6:$E$54</c:f>
              <c:numCache>
                <c:formatCode>0.000</c:formatCode>
                <c:ptCount val="49"/>
                <c:pt idx="0">
                  <c:v>152.26124032730883</c:v>
                </c:pt>
                <c:pt idx="1">
                  <c:v>131.59955221155948</c:v>
                </c:pt>
                <c:pt idx="2">
                  <c:v>92.237485900483478</c:v>
                </c:pt>
                <c:pt idx="3">
                  <c:v>66.575189974408417</c:v>
                </c:pt>
                <c:pt idx="4">
                  <c:v>62.734487553581737</c:v>
                </c:pt>
                <c:pt idx="5">
                  <c:v>59.485647687704052</c:v>
                </c:pt>
                <c:pt idx="6">
                  <c:v>56.031721081369</c:v>
                </c:pt>
                <c:pt idx="7">
                  <c:v>52.59075279338721</c:v>
                </c:pt>
                <c:pt idx="8">
                  <c:v>47.679090768661553</c:v>
                </c:pt>
                <c:pt idx="9">
                  <c:v>41.988002780052867</c:v>
                </c:pt>
                <c:pt idx="10">
                  <c:v>40.071058502547018</c:v>
                </c:pt>
                <c:pt idx="11">
                  <c:v>39.71319313298585</c:v>
                </c:pt>
                <c:pt idx="12">
                  <c:v>38.962591418640315</c:v>
                </c:pt>
                <c:pt idx="13">
                  <c:v>38.041344007372935</c:v>
                </c:pt>
                <c:pt idx="14">
                  <c:v>36.966467414738474</c:v>
                </c:pt>
                <c:pt idx="15">
                  <c:v>34.21104803658892</c:v>
                </c:pt>
                <c:pt idx="16">
                  <c:v>30.609885085369037</c:v>
                </c:pt>
                <c:pt idx="17">
                  <c:v>24.38668431456092</c:v>
                </c:pt>
                <c:pt idx="18">
                  <c:v>23.964150391388031</c:v>
                </c:pt>
                <c:pt idx="19">
                  <c:v>23.040823424771574</c:v>
                </c:pt>
                <c:pt idx="20">
                  <c:v>21.370234069994059</c:v>
                </c:pt>
                <c:pt idx="21">
                  <c:v>18.254679345679179</c:v>
                </c:pt>
                <c:pt idx="22">
                  <c:v>16.444911713420463</c:v>
                </c:pt>
                <c:pt idx="23">
                  <c:v>16.296319096847515</c:v>
                </c:pt>
                <c:pt idx="24">
                  <c:v>16.215459737406949</c:v>
                </c:pt>
                <c:pt idx="25">
                  <c:v>13.108268800000003</c:v>
                </c:pt>
                <c:pt idx="26">
                  <c:v>10.903603878978336</c:v>
                </c:pt>
                <c:pt idx="27">
                  <c:v>9.2931047440158796</c:v>
                </c:pt>
                <c:pt idx="28">
                  <c:v>8.7023834100039181</c:v>
                </c:pt>
                <c:pt idx="29">
                  <c:v>7.1721719511045841</c:v>
                </c:pt>
                <c:pt idx="30">
                  <c:v>3.2306116261634701</c:v>
                </c:pt>
                <c:pt idx="31">
                  <c:v>0.5690784271777003</c:v>
                </c:pt>
                <c:pt idx="32">
                  <c:v>0.3590381680612601</c:v>
                </c:pt>
                <c:pt idx="33">
                  <c:v>0.19673651785714286</c:v>
                </c:pt>
                <c:pt idx="34">
                  <c:v>0.18222730804843304</c:v>
                </c:pt>
                <c:pt idx="35">
                  <c:v>0.17061171290467628</c:v>
                </c:pt>
                <c:pt idx="36">
                  <c:v>0.16393952830188677</c:v>
                </c:pt>
                <c:pt idx="37">
                  <c:v>0.15017809655172415</c:v>
                </c:pt>
                <c:pt idx="38">
                  <c:v>0.14597679319852941</c:v>
                </c:pt>
                <c:pt idx="39">
                  <c:v>0.1426260328307393</c:v>
                </c:pt>
                <c:pt idx="40">
                  <c:v>0.13619453017241379</c:v>
                </c:pt>
                <c:pt idx="41">
                  <c:v>0.12870324519230766</c:v>
                </c:pt>
                <c:pt idx="42">
                  <c:v>0.11799079114208631</c:v>
                </c:pt>
                <c:pt idx="43">
                  <c:v>0.10495855785123967</c:v>
                </c:pt>
                <c:pt idx="44">
                  <c:v>0.10393250000000002</c:v>
                </c:pt>
                <c:pt idx="45">
                  <c:v>9.4667992592592606E-2</c:v>
                </c:pt>
                <c:pt idx="46">
                  <c:v>5.9670246710526315E-2</c:v>
                </c:pt>
                <c:pt idx="47">
                  <c:v>2.7120600000000005E-2</c:v>
                </c:pt>
                <c:pt idx="48">
                  <c:v>7.5699250000000017E-3</c:v>
                </c:pt>
              </c:numCache>
            </c:numRef>
          </c:yVal>
          <c:smooth val="0"/>
        </c:ser>
        <c:dLbls>
          <c:showLegendKey val="0"/>
          <c:showVal val="0"/>
          <c:showCatName val="0"/>
          <c:showSerName val="0"/>
          <c:showPercent val="0"/>
          <c:showBubbleSize val="0"/>
        </c:dLbls>
        <c:axId val="86036480"/>
        <c:axId val="86038016"/>
      </c:scatterChart>
      <c:valAx>
        <c:axId val="86036480"/>
        <c:scaling>
          <c:orientation val="minMax"/>
          <c:max val="50"/>
        </c:scaling>
        <c:delete val="0"/>
        <c:axPos val="b"/>
        <c:majorTickMark val="out"/>
        <c:minorTickMark val="none"/>
        <c:tickLblPos val="nextTo"/>
        <c:crossAx val="86038016"/>
        <c:crosses val="autoZero"/>
        <c:crossBetween val="midCat"/>
      </c:valAx>
      <c:valAx>
        <c:axId val="86038016"/>
        <c:scaling>
          <c:orientation val="minMax"/>
        </c:scaling>
        <c:delete val="0"/>
        <c:axPos val="l"/>
        <c:majorGridlines/>
        <c:numFmt formatCode="0" sourceLinked="0"/>
        <c:majorTickMark val="out"/>
        <c:minorTickMark val="none"/>
        <c:tickLblPos val="nextTo"/>
        <c:crossAx val="86036480"/>
        <c:crosses val="autoZero"/>
        <c:crossBetween val="midCat"/>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scatterChart>
        <c:scatterStyle val="lineMarker"/>
        <c:varyColors val="0"/>
        <c:ser>
          <c:idx val="0"/>
          <c:order val="0"/>
          <c:tx>
            <c:v>Current</c:v>
          </c:tx>
          <c:spPr>
            <a:ln w="47625">
              <a:noFill/>
            </a:ln>
          </c:spPr>
          <c:marker>
            <c:spPr>
              <a:solidFill>
                <a:srgbClr val="FF0000"/>
              </a:solidFill>
            </c:spPr>
          </c:marker>
          <c:yVal>
            <c:numRef>
              <c:f>'Risk Sorted'!$E$6:$E$54</c:f>
              <c:numCache>
                <c:formatCode>0.000</c:formatCode>
                <c:ptCount val="49"/>
                <c:pt idx="0">
                  <c:v>152.26124032730883</c:v>
                </c:pt>
                <c:pt idx="1">
                  <c:v>131.59955221155948</c:v>
                </c:pt>
                <c:pt idx="2">
                  <c:v>92.237485900483478</c:v>
                </c:pt>
                <c:pt idx="3">
                  <c:v>66.575189974408417</c:v>
                </c:pt>
                <c:pt idx="4">
                  <c:v>62.734487553581737</c:v>
                </c:pt>
                <c:pt idx="5">
                  <c:v>59.485647687704052</c:v>
                </c:pt>
                <c:pt idx="6">
                  <c:v>56.031721081369</c:v>
                </c:pt>
                <c:pt idx="7">
                  <c:v>52.59075279338721</c:v>
                </c:pt>
                <c:pt idx="8">
                  <c:v>47.679090768661553</c:v>
                </c:pt>
                <c:pt idx="9">
                  <c:v>41.988002780052867</c:v>
                </c:pt>
                <c:pt idx="10">
                  <c:v>40.071058502547018</c:v>
                </c:pt>
                <c:pt idx="11">
                  <c:v>39.71319313298585</c:v>
                </c:pt>
                <c:pt idx="12">
                  <c:v>38.962591418640315</c:v>
                </c:pt>
                <c:pt idx="13">
                  <c:v>38.041344007372935</c:v>
                </c:pt>
                <c:pt idx="14">
                  <c:v>36.966467414738474</c:v>
                </c:pt>
                <c:pt idx="15">
                  <c:v>34.21104803658892</c:v>
                </c:pt>
                <c:pt idx="16">
                  <c:v>30.609885085369037</c:v>
                </c:pt>
                <c:pt idx="17">
                  <c:v>24.38668431456092</c:v>
                </c:pt>
                <c:pt idx="18">
                  <c:v>23.964150391388031</c:v>
                </c:pt>
                <c:pt idx="19">
                  <c:v>23.040823424771574</c:v>
                </c:pt>
                <c:pt idx="20">
                  <c:v>21.370234069994059</c:v>
                </c:pt>
                <c:pt idx="21">
                  <c:v>18.254679345679179</c:v>
                </c:pt>
                <c:pt idx="22">
                  <c:v>16.444911713420463</c:v>
                </c:pt>
                <c:pt idx="23">
                  <c:v>16.296319096847515</c:v>
                </c:pt>
                <c:pt idx="24">
                  <c:v>16.215459737406949</c:v>
                </c:pt>
                <c:pt idx="25">
                  <c:v>13.108268800000003</c:v>
                </c:pt>
                <c:pt idx="26">
                  <c:v>10.903603878978336</c:v>
                </c:pt>
                <c:pt idx="27">
                  <c:v>9.2931047440158796</c:v>
                </c:pt>
                <c:pt idx="28">
                  <c:v>8.7023834100039181</c:v>
                </c:pt>
                <c:pt idx="29">
                  <c:v>7.1721719511045841</c:v>
                </c:pt>
                <c:pt idx="30">
                  <c:v>3.2306116261634701</c:v>
                </c:pt>
                <c:pt idx="31">
                  <c:v>0.5690784271777003</c:v>
                </c:pt>
                <c:pt idx="32">
                  <c:v>0.3590381680612601</c:v>
                </c:pt>
                <c:pt idx="33">
                  <c:v>0.19673651785714286</c:v>
                </c:pt>
                <c:pt idx="34">
                  <c:v>0.18222730804843304</c:v>
                </c:pt>
                <c:pt idx="35">
                  <c:v>0.17061171290467628</c:v>
                </c:pt>
                <c:pt idx="36">
                  <c:v>0.16393952830188677</c:v>
                </c:pt>
                <c:pt idx="37">
                  <c:v>0.15017809655172415</c:v>
                </c:pt>
                <c:pt idx="38">
                  <c:v>0.14597679319852941</c:v>
                </c:pt>
                <c:pt idx="39">
                  <c:v>0.1426260328307393</c:v>
                </c:pt>
                <c:pt idx="40">
                  <c:v>0.13619453017241379</c:v>
                </c:pt>
                <c:pt idx="41">
                  <c:v>0.12870324519230766</c:v>
                </c:pt>
                <c:pt idx="42">
                  <c:v>0.11799079114208631</c:v>
                </c:pt>
                <c:pt idx="43">
                  <c:v>0.10495855785123967</c:v>
                </c:pt>
                <c:pt idx="44">
                  <c:v>0.10393250000000002</c:v>
                </c:pt>
                <c:pt idx="45">
                  <c:v>9.4667992592592606E-2</c:v>
                </c:pt>
                <c:pt idx="46">
                  <c:v>5.9670246710526315E-2</c:v>
                </c:pt>
                <c:pt idx="47">
                  <c:v>2.7120600000000005E-2</c:v>
                </c:pt>
                <c:pt idx="48">
                  <c:v>7.5699250000000017E-3</c:v>
                </c:pt>
              </c:numCache>
            </c:numRef>
          </c:yVal>
          <c:smooth val="0"/>
        </c:ser>
        <c:ser>
          <c:idx val="1"/>
          <c:order val="1"/>
          <c:tx>
            <c:v>After Mitigation</c:v>
          </c:tx>
          <c:spPr>
            <a:ln w="47625">
              <a:noFill/>
            </a:ln>
          </c:spPr>
          <c:marker>
            <c:symbol val="triangle"/>
            <c:size val="9"/>
            <c:spPr>
              <a:solidFill>
                <a:srgbClr val="008000"/>
              </a:solidFill>
            </c:spPr>
          </c:marker>
          <c:yVal>
            <c:numRef>
              <c:f>'Risk Sorted (2 old)'!$F$6:$F$54</c:f>
              <c:numCache>
                <c:formatCode>0.000</c:formatCode>
                <c:ptCount val="49"/>
                <c:pt idx="0">
                  <c:v>55.206831395964592</c:v>
                </c:pt>
                <c:pt idx="1">
                  <c:v>55.381401976749956</c:v>
                </c:pt>
                <c:pt idx="2">
                  <c:v>50.675767237014412</c:v>
                </c:pt>
                <c:pt idx="3">
                  <c:v>47.684822714245385</c:v>
                </c:pt>
                <c:pt idx="4">
                  <c:v>45.886683307823262</c:v>
                </c:pt>
                <c:pt idx="5">
                  <c:v>41.988002780052867</c:v>
                </c:pt>
                <c:pt idx="6">
                  <c:v>40.071058502547018</c:v>
                </c:pt>
                <c:pt idx="7">
                  <c:v>39.71319313298585</c:v>
                </c:pt>
                <c:pt idx="8">
                  <c:v>38.962591418640315</c:v>
                </c:pt>
                <c:pt idx="9">
                  <c:v>38.041344007372935</c:v>
                </c:pt>
                <c:pt idx="10">
                  <c:v>36.966467414738474</c:v>
                </c:pt>
                <c:pt idx="11">
                  <c:v>34.21104803658892</c:v>
                </c:pt>
                <c:pt idx="12">
                  <c:v>34.073709867686063</c:v>
                </c:pt>
                <c:pt idx="13">
                  <c:v>30.609885085369037</c:v>
                </c:pt>
                <c:pt idx="14">
                  <c:v>28.187558801308445</c:v>
                </c:pt>
                <c:pt idx="15">
                  <c:v>24.38668431456092</c:v>
                </c:pt>
                <c:pt idx="16">
                  <c:v>23.964150391388031</c:v>
                </c:pt>
                <c:pt idx="17">
                  <c:v>23.040823424771574</c:v>
                </c:pt>
                <c:pt idx="18">
                  <c:v>21.370234069994059</c:v>
                </c:pt>
                <c:pt idx="19">
                  <c:v>18.254679345679179</c:v>
                </c:pt>
                <c:pt idx="20">
                  <c:v>16.444911713420463</c:v>
                </c:pt>
                <c:pt idx="21">
                  <c:v>16.296319096847515</c:v>
                </c:pt>
                <c:pt idx="22">
                  <c:v>16.215459737406949</c:v>
                </c:pt>
                <c:pt idx="23">
                  <c:v>13.108268800000003</c:v>
                </c:pt>
                <c:pt idx="24">
                  <c:v>10.903603878978336</c:v>
                </c:pt>
                <c:pt idx="25">
                  <c:v>9.2931047440158796</c:v>
                </c:pt>
                <c:pt idx="26">
                  <c:v>8.7023834100039181</c:v>
                </c:pt>
                <c:pt idx="27">
                  <c:v>7.1721719511045841</c:v>
                </c:pt>
                <c:pt idx="28">
                  <c:v>3.2306116261634701</c:v>
                </c:pt>
                <c:pt idx="29">
                  <c:v>0.5690784271777003</c:v>
                </c:pt>
                <c:pt idx="30">
                  <c:v>0.3590381680612601</c:v>
                </c:pt>
                <c:pt idx="31">
                  <c:v>0.19673651785714286</c:v>
                </c:pt>
                <c:pt idx="32">
                  <c:v>0.18222730804843304</c:v>
                </c:pt>
                <c:pt idx="33">
                  <c:v>0.17061171290467628</c:v>
                </c:pt>
                <c:pt idx="34">
                  <c:v>0.16393952830188677</c:v>
                </c:pt>
                <c:pt idx="35">
                  <c:v>0.15017809655172415</c:v>
                </c:pt>
                <c:pt idx="36">
                  <c:v>0.14597679319852941</c:v>
                </c:pt>
                <c:pt idx="37">
                  <c:v>0.1426260328307393</c:v>
                </c:pt>
                <c:pt idx="38">
                  <c:v>0.13619453017241379</c:v>
                </c:pt>
                <c:pt idx="39">
                  <c:v>0.12870324519230766</c:v>
                </c:pt>
                <c:pt idx="40">
                  <c:v>0.11799079114208631</c:v>
                </c:pt>
                <c:pt idx="41">
                  <c:v>0.10495855785123967</c:v>
                </c:pt>
                <c:pt idx="42">
                  <c:v>0.10393250000000002</c:v>
                </c:pt>
                <c:pt idx="43">
                  <c:v>9.4667992592592606E-2</c:v>
                </c:pt>
                <c:pt idx="44">
                  <c:v>5.9670246710526315E-2</c:v>
                </c:pt>
                <c:pt idx="45">
                  <c:v>2.7120600000000005E-2</c:v>
                </c:pt>
                <c:pt idx="46">
                  <c:v>7.5699250000000017E-3</c:v>
                </c:pt>
                <c:pt idx="47">
                  <c:v>0</c:v>
                </c:pt>
                <c:pt idx="48">
                  <c:v>0</c:v>
                </c:pt>
              </c:numCache>
            </c:numRef>
          </c:yVal>
          <c:smooth val="0"/>
        </c:ser>
        <c:dLbls>
          <c:showLegendKey val="0"/>
          <c:showVal val="0"/>
          <c:showCatName val="0"/>
          <c:showSerName val="0"/>
          <c:showPercent val="0"/>
          <c:showBubbleSize val="0"/>
        </c:dLbls>
        <c:axId val="88213760"/>
        <c:axId val="88215936"/>
      </c:scatterChart>
      <c:valAx>
        <c:axId val="88213760"/>
        <c:scaling>
          <c:orientation val="minMax"/>
          <c:max val="50"/>
        </c:scaling>
        <c:delete val="0"/>
        <c:axPos val="b"/>
        <c:majorTickMark val="out"/>
        <c:minorTickMark val="none"/>
        <c:tickLblPos val="nextTo"/>
        <c:crossAx val="88215936"/>
        <c:crosses val="autoZero"/>
        <c:crossBetween val="midCat"/>
      </c:valAx>
      <c:valAx>
        <c:axId val="88215936"/>
        <c:scaling>
          <c:orientation val="minMax"/>
        </c:scaling>
        <c:delete val="0"/>
        <c:axPos val="l"/>
        <c:majorGridlines/>
        <c:numFmt formatCode="0" sourceLinked="0"/>
        <c:majorTickMark val="out"/>
        <c:minorTickMark val="none"/>
        <c:tickLblPos val="nextTo"/>
        <c:crossAx val="88213760"/>
        <c:crosses val="autoZero"/>
        <c:crossBetween val="midCat"/>
      </c:valAx>
    </c:plotArea>
    <c:legend>
      <c:legendPos val="r"/>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v>Risks</c:v>
          </c:tx>
          <c:spPr>
            <a:solidFill>
              <a:srgbClr val="3366FF"/>
            </a:solidFill>
          </c:spPr>
          <c:invertIfNegative val="0"/>
          <c:cat>
            <c:strRef>
              <c:f>Risk!$B$6:$B$37</c:f>
              <c:strCache>
                <c:ptCount val="32"/>
                <c:pt idx="0">
                  <c:v>PL Sect 01-2</c:v>
                </c:pt>
                <c:pt idx="1">
                  <c:v>PL Sect 01-3</c:v>
                </c:pt>
                <c:pt idx="2">
                  <c:v>PL Sect 01-4</c:v>
                </c:pt>
                <c:pt idx="3">
                  <c:v>PL Sect 01-5</c:v>
                </c:pt>
                <c:pt idx="4">
                  <c:v>PL Sect 01-6</c:v>
                </c:pt>
                <c:pt idx="5">
                  <c:v>PL Sect 01-13</c:v>
                </c:pt>
                <c:pt idx="6">
                  <c:v>PL Sect 01-9</c:v>
                </c:pt>
                <c:pt idx="7">
                  <c:v>PL Sect 01-17</c:v>
                </c:pt>
                <c:pt idx="8">
                  <c:v>PL Sect 01-21</c:v>
                </c:pt>
                <c:pt idx="9">
                  <c:v>PL Sect 01-15</c:v>
                </c:pt>
                <c:pt idx="10">
                  <c:v>PL Sect 01-7</c:v>
                </c:pt>
                <c:pt idx="11">
                  <c:v>PL Sect 01-10</c:v>
                </c:pt>
                <c:pt idx="12">
                  <c:v>PL Sect 01-39</c:v>
                </c:pt>
                <c:pt idx="13">
                  <c:v>PL Sect 01-26</c:v>
                </c:pt>
                <c:pt idx="14">
                  <c:v>PL Sect 01-22</c:v>
                </c:pt>
                <c:pt idx="15">
                  <c:v>PL Sect 01-38</c:v>
                </c:pt>
                <c:pt idx="16">
                  <c:v>PL Sect 01-40</c:v>
                </c:pt>
                <c:pt idx="17">
                  <c:v>PL Sect 01-8</c:v>
                </c:pt>
                <c:pt idx="18">
                  <c:v>PL Sect 01-14</c:v>
                </c:pt>
                <c:pt idx="19">
                  <c:v>PL Sect 01-30</c:v>
                </c:pt>
                <c:pt idx="20">
                  <c:v>PL Sect 01-1</c:v>
                </c:pt>
                <c:pt idx="21">
                  <c:v>PL Sect 01-25</c:v>
                </c:pt>
                <c:pt idx="22">
                  <c:v>PL Sect 01-31</c:v>
                </c:pt>
                <c:pt idx="23">
                  <c:v>PL Sect 01-20</c:v>
                </c:pt>
                <c:pt idx="24">
                  <c:v>PL Sect 01-33</c:v>
                </c:pt>
                <c:pt idx="25">
                  <c:v>PL Sect 01-27</c:v>
                </c:pt>
                <c:pt idx="26">
                  <c:v>PL Sect 01-34</c:v>
                </c:pt>
                <c:pt idx="27">
                  <c:v>PL Sect 01-29</c:v>
                </c:pt>
                <c:pt idx="28">
                  <c:v>PL Sect 01-32</c:v>
                </c:pt>
                <c:pt idx="29">
                  <c:v>PL Sect 01-35</c:v>
                </c:pt>
                <c:pt idx="30">
                  <c:v>PL Sect 01-28</c:v>
                </c:pt>
                <c:pt idx="31">
                  <c:v>PL Sect 01-36</c:v>
                </c:pt>
              </c:strCache>
            </c:strRef>
          </c:cat>
          <c:val>
            <c:numRef>
              <c:f>Risk!$E$6:$E$37</c:f>
              <c:numCache>
                <c:formatCode>0.00</c:formatCode>
                <c:ptCount val="32"/>
                <c:pt idx="0">
                  <c:v>1619.0371659606881</c:v>
                </c:pt>
                <c:pt idx="1">
                  <c:v>1619.0371659606881</c:v>
                </c:pt>
                <c:pt idx="2">
                  <c:v>1619.0371659606881</c:v>
                </c:pt>
                <c:pt idx="3">
                  <c:v>1619.0371659606881</c:v>
                </c:pt>
                <c:pt idx="4">
                  <c:v>1582.8568099765064</c:v>
                </c:pt>
                <c:pt idx="5">
                  <c:v>1435.2264853199888</c:v>
                </c:pt>
                <c:pt idx="6">
                  <c:v>1244.4071885207543</c:v>
                </c:pt>
                <c:pt idx="7">
                  <c:v>1243.7002824821775</c:v>
                </c:pt>
                <c:pt idx="8">
                  <c:v>1229.527225657328</c:v>
                </c:pt>
                <c:pt idx="9">
                  <c:v>1049.2864492974402</c:v>
                </c:pt>
                <c:pt idx="10">
                  <c:v>999.2577216034889</c:v>
                </c:pt>
                <c:pt idx="11">
                  <c:v>876.22919874368438</c:v>
                </c:pt>
                <c:pt idx="12">
                  <c:v>844.74405634674918</c:v>
                </c:pt>
                <c:pt idx="13">
                  <c:v>841.88149566785012</c:v>
                </c:pt>
                <c:pt idx="14">
                  <c:v>734.21762072438582</c:v>
                </c:pt>
                <c:pt idx="15">
                  <c:v>695.5396850986167</c:v>
                </c:pt>
                <c:pt idx="16">
                  <c:v>627.30498785226428</c:v>
                </c:pt>
                <c:pt idx="17">
                  <c:v>539.09717937031701</c:v>
                </c:pt>
                <c:pt idx="18">
                  <c:v>444.54942136079814</c:v>
                </c:pt>
                <c:pt idx="19">
                  <c:v>375.41246315708321</c:v>
                </c:pt>
                <c:pt idx="20">
                  <c:v>315.23375537881361</c:v>
                </c:pt>
                <c:pt idx="21">
                  <c:v>281.05246981557246</c:v>
                </c:pt>
                <c:pt idx="22">
                  <c:v>276.23798361047756</c:v>
                </c:pt>
                <c:pt idx="23">
                  <c:v>268.33720077955678</c:v>
                </c:pt>
                <c:pt idx="24">
                  <c:v>259.38897061503775</c:v>
                </c:pt>
                <c:pt idx="25">
                  <c:v>206.87212762254555</c:v>
                </c:pt>
                <c:pt idx="26">
                  <c:v>174.62988031234866</c:v>
                </c:pt>
                <c:pt idx="27">
                  <c:v>119.83933945333662</c:v>
                </c:pt>
                <c:pt idx="28">
                  <c:v>96.369980135508158</c:v>
                </c:pt>
                <c:pt idx="29">
                  <c:v>95.761224500217523</c:v>
                </c:pt>
                <c:pt idx="30">
                  <c:v>62.229778630136991</c:v>
                </c:pt>
                <c:pt idx="31">
                  <c:v>59.606191631831074</c:v>
                </c:pt>
              </c:numCache>
            </c:numRef>
          </c:val>
        </c:ser>
        <c:dLbls>
          <c:showLegendKey val="0"/>
          <c:showVal val="0"/>
          <c:showCatName val="0"/>
          <c:showSerName val="0"/>
          <c:showPercent val="0"/>
          <c:showBubbleSize val="0"/>
        </c:dLbls>
        <c:gapWidth val="150"/>
        <c:axId val="88103552"/>
        <c:axId val="88109824"/>
      </c:barChart>
      <c:scatterChart>
        <c:scatterStyle val="lineMarker"/>
        <c:varyColors val="0"/>
        <c:ser>
          <c:idx val="0"/>
          <c:order val="1"/>
          <c:tx>
            <c:strRef>
              <c:f>Risk!$X$5</c:f>
              <c:strCache>
                <c:ptCount val="1"/>
                <c:pt idx="0">
                  <c:v>Design</c:v>
                </c:pt>
              </c:strCache>
            </c:strRef>
          </c:tx>
          <c:spPr>
            <a:ln w="25400">
              <a:prstDash val="lgDash"/>
            </a:ln>
          </c:spPr>
          <c:marker>
            <c:symbol val="none"/>
          </c:marker>
          <c:xVal>
            <c:numRef>
              <c:f>Risk!$W$6:$W$7</c:f>
              <c:numCache>
                <c:formatCode>General</c:formatCode>
                <c:ptCount val="2"/>
                <c:pt idx="0">
                  <c:v>0</c:v>
                </c:pt>
                <c:pt idx="1">
                  <c:v>1</c:v>
                </c:pt>
              </c:numCache>
            </c:numRef>
          </c:xVal>
          <c:yVal>
            <c:numRef>
              <c:f>Risk!$X$6:$X$7</c:f>
              <c:numCache>
                <c:formatCode>General</c:formatCode>
                <c:ptCount val="2"/>
                <c:pt idx="0">
                  <c:v>1250</c:v>
                </c:pt>
                <c:pt idx="1">
                  <c:v>1250</c:v>
                </c:pt>
              </c:numCache>
            </c:numRef>
          </c:yVal>
          <c:smooth val="0"/>
        </c:ser>
        <c:dLbls>
          <c:showLegendKey val="0"/>
          <c:showVal val="0"/>
          <c:showCatName val="0"/>
          <c:showSerName val="0"/>
          <c:showPercent val="0"/>
          <c:showBubbleSize val="0"/>
        </c:dLbls>
        <c:axId val="88117632"/>
        <c:axId val="88111744"/>
      </c:scatterChart>
      <c:catAx>
        <c:axId val="88103552"/>
        <c:scaling>
          <c:orientation val="minMax"/>
        </c:scaling>
        <c:delete val="0"/>
        <c:axPos val="b"/>
        <c:title>
          <c:tx>
            <c:rich>
              <a:bodyPr/>
              <a:lstStyle/>
              <a:p>
                <a:pPr>
                  <a:defRPr/>
                </a:pPr>
                <a:r>
                  <a:rPr lang="en-US"/>
                  <a:t>Line Descriptor</a:t>
                </a:r>
              </a:p>
            </c:rich>
          </c:tx>
          <c:overlay val="0"/>
        </c:title>
        <c:numFmt formatCode="General" sourceLinked="0"/>
        <c:majorTickMark val="out"/>
        <c:minorTickMark val="none"/>
        <c:tickLblPos val="nextTo"/>
        <c:crossAx val="88109824"/>
        <c:crosses val="autoZero"/>
        <c:auto val="1"/>
        <c:lblAlgn val="ctr"/>
        <c:lblOffset val="100"/>
        <c:tickLblSkip val="1"/>
        <c:tickMarkSkip val="1"/>
        <c:noMultiLvlLbl val="0"/>
      </c:catAx>
      <c:valAx>
        <c:axId val="88109824"/>
        <c:scaling>
          <c:orientation val="minMax"/>
        </c:scaling>
        <c:delete val="0"/>
        <c:axPos val="l"/>
        <c:majorGridlines/>
        <c:title>
          <c:tx>
            <c:rich>
              <a:bodyPr rot="-5400000" vert="horz"/>
              <a:lstStyle/>
              <a:p>
                <a:pPr>
                  <a:defRPr/>
                </a:pPr>
                <a:r>
                  <a:rPr lang="en-US"/>
                  <a:t>Risk Score</a:t>
                </a:r>
              </a:p>
            </c:rich>
          </c:tx>
          <c:overlay val="0"/>
        </c:title>
        <c:numFmt formatCode="0" sourceLinked="0"/>
        <c:majorTickMark val="out"/>
        <c:minorTickMark val="none"/>
        <c:tickLblPos val="nextTo"/>
        <c:crossAx val="88103552"/>
        <c:crossesAt val="-1"/>
        <c:crossBetween val="between"/>
      </c:valAx>
      <c:valAx>
        <c:axId val="88111744"/>
        <c:scaling>
          <c:orientation val="minMax"/>
        </c:scaling>
        <c:delete val="1"/>
        <c:axPos val="r"/>
        <c:numFmt formatCode="General" sourceLinked="1"/>
        <c:majorTickMark val="out"/>
        <c:minorTickMark val="none"/>
        <c:tickLblPos val="nextTo"/>
        <c:crossAx val="88117632"/>
        <c:crosses val="max"/>
        <c:crossBetween val="midCat"/>
      </c:valAx>
      <c:valAx>
        <c:axId val="88117632"/>
        <c:scaling>
          <c:orientation val="minMax"/>
          <c:max val="1"/>
        </c:scaling>
        <c:delete val="0"/>
        <c:axPos val="t"/>
        <c:numFmt formatCode="General" sourceLinked="1"/>
        <c:majorTickMark val="none"/>
        <c:minorTickMark val="none"/>
        <c:tickLblPos val="none"/>
        <c:crossAx val="88111744"/>
        <c:crosses val="max"/>
        <c:crossBetween val="midCat"/>
      </c:valAx>
    </c:plotArea>
    <c:plotVisOnly val="1"/>
    <c:dispBlanksAs val="gap"/>
    <c:showDLblsOverMax val="0"/>
  </c:chart>
  <c:spPr>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12700</xdr:colOff>
      <xdr:row>5</xdr:row>
      <xdr:rowOff>25400</xdr:rowOff>
    </xdr:from>
    <xdr:to>
      <xdr:col>14</xdr:col>
      <xdr:colOff>355600</xdr:colOff>
      <xdr:row>29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3</xdr:col>
      <xdr:colOff>466725</xdr:colOff>
      <xdr:row>7</xdr:row>
      <xdr:rowOff>66675</xdr:rowOff>
    </xdr:from>
    <xdr:ext cx="2561590" cy="1132205"/>
    <xdr:pic>
      <xdr:nvPicPr>
        <xdr:cNvPr id="2" name="Picture 1" descr="\\SGR-S-DC-01\Users$\daniella.pacitti\Desktop Transfer\Kiefner_Logo_CMYK_BW-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2725" y="1400175"/>
          <a:ext cx="2561590" cy="113220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8</xdr:col>
      <xdr:colOff>0</xdr:colOff>
      <xdr:row>4</xdr:row>
      <xdr:rowOff>0</xdr:rowOff>
    </xdr:from>
    <xdr:to>
      <xdr:col>15</xdr:col>
      <xdr:colOff>444500</xdr:colOff>
      <xdr:row>27</xdr:row>
      <xdr:rowOff>139700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660400</xdr:colOff>
      <xdr:row>4</xdr:row>
      <xdr:rowOff>101600</xdr:rowOff>
    </xdr:from>
    <xdr:to>
      <xdr:col>17</xdr:col>
      <xdr:colOff>139700</xdr:colOff>
      <xdr:row>36</xdr:row>
      <xdr:rowOff>101600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kiefn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CFFCC"/>
  </sheetPr>
  <dimension ref="A1:Q69"/>
  <sheetViews>
    <sheetView topLeftCell="B33" workbookViewId="0">
      <selection activeCell="F23" sqref="F23"/>
    </sheetView>
  </sheetViews>
  <sheetFormatPr defaultColWidth="11.42578125" defaultRowHeight="15" x14ac:dyDescent="0.25"/>
  <cols>
    <col min="1" max="1" width="26.140625" style="47" customWidth="1"/>
    <col min="2" max="2" width="29.28515625" style="1" customWidth="1"/>
    <col min="3" max="3" width="12" customWidth="1"/>
    <col min="7" max="7" width="32.42578125" customWidth="1"/>
  </cols>
  <sheetData>
    <row r="1" spans="1:17" x14ac:dyDescent="0.2">
      <c r="B1"/>
    </row>
    <row r="2" spans="1:17" x14ac:dyDescent="0.2">
      <c r="B2"/>
    </row>
    <row r="3" spans="1:17" x14ac:dyDescent="0.2">
      <c r="B3"/>
    </row>
    <row r="4" spans="1:17" ht="27.95" customHeight="1" x14ac:dyDescent="0.2">
      <c r="B4" s="3"/>
      <c r="C4" s="84" t="s">
        <v>130</v>
      </c>
      <c r="D4" s="85"/>
      <c r="E4" s="86"/>
      <c r="G4" s="49" t="s">
        <v>153</v>
      </c>
    </row>
    <row r="5" spans="1:17" x14ac:dyDescent="0.2">
      <c r="B5" s="4" t="s">
        <v>0</v>
      </c>
      <c r="C5" s="49" t="s">
        <v>129</v>
      </c>
      <c r="D5" s="49" t="s">
        <v>131</v>
      </c>
      <c r="E5" s="49" t="s">
        <v>132</v>
      </c>
    </row>
    <row r="6" spans="1:17" x14ac:dyDescent="0.2">
      <c r="B6" s="51" t="s">
        <v>45</v>
      </c>
      <c r="C6" s="48">
        <v>29.957178707256571</v>
      </c>
      <c r="D6" s="48">
        <v>508.26295031055901</v>
      </c>
      <c r="E6" s="48">
        <v>152.26124032730883</v>
      </c>
      <c r="G6" t="s">
        <v>143</v>
      </c>
    </row>
    <row r="7" spans="1:17" x14ac:dyDescent="0.2">
      <c r="B7" s="9" t="s">
        <v>62</v>
      </c>
      <c r="C7" s="48">
        <v>89.211791540450577</v>
      </c>
      <c r="D7" s="48">
        <v>147.51363013698631</v>
      </c>
      <c r="E7" s="48">
        <v>131.59955221155948</v>
      </c>
      <c r="G7" t="s">
        <v>144</v>
      </c>
    </row>
    <row r="8" spans="1:17" x14ac:dyDescent="0.2">
      <c r="B8" s="9" t="s">
        <v>63</v>
      </c>
      <c r="C8" s="48">
        <v>63.599799695830065</v>
      </c>
      <c r="D8" s="48">
        <v>145.02795031055899</v>
      </c>
      <c r="E8" s="48">
        <v>92.237485900483478</v>
      </c>
      <c r="G8" t="s">
        <v>145</v>
      </c>
    </row>
    <row r="9" spans="1:17" x14ac:dyDescent="0.2">
      <c r="B9" s="9" t="s">
        <v>37</v>
      </c>
      <c r="C9" s="48">
        <v>60.293601582836565</v>
      </c>
      <c r="D9" s="48">
        <v>110.41833333333334</v>
      </c>
      <c r="E9" s="48">
        <v>66.575189974408417</v>
      </c>
      <c r="G9" t="s">
        <v>146</v>
      </c>
    </row>
    <row r="10" spans="1:17" x14ac:dyDescent="0.2">
      <c r="B10" s="9" t="s">
        <v>64</v>
      </c>
      <c r="C10" s="48">
        <v>60.293601582836565</v>
      </c>
      <c r="D10" s="48">
        <v>104.04833333333335</v>
      </c>
      <c r="E10" s="48">
        <v>62.734487553581737</v>
      </c>
      <c r="G10" t="s">
        <v>146</v>
      </c>
    </row>
    <row r="11" spans="1:17" x14ac:dyDescent="0.2">
      <c r="B11" s="9" t="s">
        <v>35</v>
      </c>
      <c r="C11" s="48">
        <v>45.329881266269254</v>
      </c>
      <c r="D11" s="48">
        <v>131.22833333333335</v>
      </c>
      <c r="E11" s="48">
        <v>59.485647687704052</v>
      </c>
      <c r="G11" s="47" t="s">
        <v>147</v>
      </c>
    </row>
    <row r="12" spans="1:17" x14ac:dyDescent="0.2">
      <c r="B12" s="9" t="s">
        <v>28</v>
      </c>
      <c r="C12" s="48">
        <v>43.916022427365874</v>
      </c>
      <c r="D12" s="48">
        <v>127.58833333333334</v>
      </c>
      <c r="E12" s="48">
        <v>56.031721081369</v>
      </c>
      <c r="G12" t="s">
        <v>148</v>
      </c>
    </row>
    <row r="13" spans="1:17" x14ac:dyDescent="0.2">
      <c r="B13" s="9" t="s">
        <v>19</v>
      </c>
      <c r="C13" s="48">
        <v>49.059300791418281</v>
      </c>
      <c r="D13" s="48">
        <v>107.19833333333334</v>
      </c>
      <c r="E13" s="48">
        <v>52.59075279338721</v>
      </c>
      <c r="G13" t="s">
        <v>145</v>
      </c>
    </row>
    <row r="14" spans="1:17" x14ac:dyDescent="0.2">
      <c r="B14" s="9" t="s">
        <v>26</v>
      </c>
      <c r="C14" s="48">
        <v>32.485886612255179</v>
      </c>
      <c r="D14" s="48">
        <v>146.7686301369863</v>
      </c>
      <c r="E14" s="48">
        <v>47.679090768661553</v>
      </c>
      <c r="G14" t="s">
        <v>145</v>
      </c>
    </row>
    <row r="15" spans="1:17" x14ac:dyDescent="0.2">
      <c r="B15" s="9" t="s">
        <v>16</v>
      </c>
      <c r="C15" s="48">
        <v>35.128828745696119</v>
      </c>
      <c r="D15" s="48">
        <v>119.52576923076921</v>
      </c>
      <c r="E15" s="48">
        <v>41.988002780052867</v>
      </c>
      <c r="G15" t="s">
        <v>149</v>
      </c>
    </row>
    <row r="16" spans="1:17" s="34" customFormat="1" x14ac:dyDescent="0.2">
      <c r="A16" s="47"/>
      <c r="B16" s="9" t="s">
        <v>137</v>
      </c>
      <c r="C16" s="48">
        <v>50.742862379351912</v>
      </c>
      <c r="D16" s="48">
        <v>78.968857142857146</v>
      </c>
      <c r="E16" s="48">
        <v>40.071058502547018</v>
      </c>
      <c r="F16"/>
      <c r="G16" t="s">
        <v>150</v>
      </c>
      <c r="H16"/>
      <c r="I16"/>
      <c r="J16"/>
      <c r="K16"/>
      <c r="L16"/>
      <c r="M16"/>
      <c r="N16"/>
      <c r="O16"/>
      <c r="P16"/>
      <c r="Q16"/>
    </row>
    <row r="17" spans="1:17" x14ac:dyDescent="0.2">
      <c r="B17" s="9" t="s">
        <v>25</v>
      </c>
      <c r="C17" s="48">
        <v>46.218438327594818</v>
      </c>
      <c r="D17" s="48">
        <v>85.924999999999997</v>
      </c>
      <c r="E17" s="48">
        <v>39.71319313298585</v>
      </c>
      <c r="G17" t="s">
        <v>151</v>
      </c>
    </row>
    <row r="18" spans="1:17" s="43" customFormat="1" x14ac:dyDescent="0.2">
      <c r="A18" s="47"/>
      <c r="B18" s="9" t="s">
        <v>29</v>
      </c>
      <c r="C18" s="48">
        <v>64.444473132511433</v>
      </c>
      <c r="D18" s="48">
        <v>60.459166666666675</v>
      </c>
      <c r="E18" s="48">
        <v>38.962591418640315</v>
      </c>
      <c r="F18"/>
      <c r="G18" t="s">
        <v>152</v>
      </c>
      <c r="H18"/>
      <c r="I18"/>
      <c r="J18"/>
      <c r="K18"/>
      <c r="L18"/>
      <c r="M18"/>
      <c r="N18"/>
      <c r="O18"/>
      <c r="P18"/>
      <c r="Q18"/>
    </row>
    <row r="19" spans="1:17" x14ac:dyDescent="0.2">
      <c r="B19" s="9" t="s">
        <v>138</v>
      </c>
      <c r="C19" s="48">
        <v>50.742862379351912</v>
      </c>
      <c r="D19" s="48">
        <v>74.968857142857146</v>
      </c>
      <c r="E19" s="48">
        <v>38.041344007372935</v>
      </c>
      <c r="G19" t="s">
        <v>150</v>
      </c>
    </row>
    <row r="20" spans="1:17" x14ac:dyDescent="0.2">
      <c r="B20" s="9" t="s">
        <v>44</v>
      </c>
      <c r="C20" s="48">
        <v>38.67042956917242</v>
      </c>
      <c r="D20" s="48">
        <v>95.593630136986306</v>
      </c>
      <c r="E20" s="48">
        <v>36.966467414738474</v>
      </c>
    </row>
    <row r="21" spans="1:17" x14ac:dyDescent="0.2">
      <c r="B21" s="9" t="s">
        <v>139</v>
      </c>
      <c r="C21" s="48">
        <v>48.205719260384321</v>
      </c>
      <c r="D21" s="48">
        <v>70.968857142857146</v>
      </c>
      <c r="E21" s="48">
        <v>34.21104803658892</v>
      </c>
    </row>
    <row r="22" spans="1:17" x14ac:dyDescent="0.2">
      <c r="B22" s="9" t="s">
        <v>136</v>
      </c>
      <c r="C22" s="48">
        <v>43.13143302244913</v>
      </c>
      <c r="D22" s="48">
        <v>70.968857142857146</v>
      </c>
      <c r="E22" s="48">
        <v>30.609885085369037</v>
      </c>
    </row>
    <row r="23" spans="1:17" s="34" customFormat="1" x14ac:dyDescent="0.2">
      <c r="A23" s="47"/>
      <c r="B23" s="9" t="s">
        <v>42</v>
      </c>
      <c r="C23" s="48">
        <v>16.821634718189845</v>
      </c>
      <c r="D23" s="48">
        <v>144.97214285714284</v>
      </c>
      <c r="E23" s="48">
        <v>24.38668431456092</v>
      </c>
      <c r="F23"/>
      <c r="G23"/>
      <c r="H23"/>
      <c r="I23"/>
      <c r="J23"/>
      <c r="K23"/>
      <c r="L23"/>
      <c r="M23"/>
      <c r="N23"/>
      <c r="O23"/>
      <c r="P23"/>
      <c r="Q23"/>
    </row>
    <row r="24" spans="1:17" x14ac:dyDescent="0.2">
      <c r="B24" s="9" t="s">
        <v>135</v>
      </c>
      <c r="C24" s="48">
        <v>38.057146784513932</v>
      </c>
      <c r="D24" s="48">
        <v>62.968857142857146</v>
      </c>
      <c r="E24" s="48">
        <v>23.964150391388031</v>
      </c>
    </row>
    <row r="25" spans="1:17" x14ac:dyDescent="0.2">
      <c r="B25" s="7" t="s">
        <v>1</v>
      </c>
      <c r="C25" s="48">
        <v>16.335768060884856</v>
      </c>
      <c r="D25" s="48">
        <v>141.04524096385541</v>
      </c>
      <c r="E25" s="48">
        <v>23.040823424771574</v>
      </c>
    </row>
    <row r="26" spans="1:17" x14ac:dyDescent="0.2">
      <c r="B26" s="9" t="s">
        <v>60</v>
      </c>
      <c r="C26" s="48">
        <v>16.10538403044243</v>
      </c>
      <c r="D26" s="48">
        <v>132.69</v>
      </c>
      <c r="E26" s="48">
        <v>21.370234069994059</v>
      </c>
    </row>
    <row r="27" spans="1:17" x14ac:dyDescent="0.2">
      <c r="B27" s="9" t="s">
        <v>48</v>
      </c>
      <c r="C27" s="48">
        <v>8.520384030442429</v>
      </c>
      <c r="D27" s="48">
        <v>214.24714285714288</v>
      </c>
      <c r="E27" s="48">
        <v>18.254679345679179</v>
      </c>
    </row>
    <row r="28" spans="1:17" s="34" customFormat="1" x14ac:dyDescent="0.2">
      <c r="A28" s="47"/>
      <c r="B28" s="9" t="s">
        <v>54</v>
      </c>
      <c r="C28" s="48">
        <v>12.884307224353943</v>
      </c>
      <c r="D28" s="48">
        <v>127.63520325203251</v>
      </c>
      <c r="E28" s="48">
        <v>16.444911713420463</v>
      </c>
      <c r="F28"/>
      <c r="G28"/>
      <c r="H28"/>
      <c r="I28"/>
      <c r="J28"/>
      <c r="K28"/>
      <c r="L28"/>
      <c r="M28"/>
      <c r="N28"/>
      <c r="O28"/>
      <c r="P28"/>
      <c r="Q28"/>
    </row>
    <row r="29" spans="1:17" s="43" customFormat="1" x14ac:dyDescent="0.2">
      <c r="A29" s="47"/>
      <c r="B29" s="9" t="s">
        <v>52</v>
      </c>
      <c r="C29" s="48">
        <v>16.821634718189845</v>
      </c>
      <c r="D29" s="48">
        <v>96.877142857142857</v>
      </c>
      <c r="E29" s="48">
        <v>16.296319096847515</v>
      </c>
      <c r="F29"/>
      <c r="G29"/>
      <c r="H29"/>
      <c r="I29"/>
      <c r="J29"/>
      <c r="K29"/>
      <c r="L29"/>
      <c r="M29"/>
      <c r="N29"/>
      <c r="O29"/>
      <c r="P29"/>
      <c r="Q29"/>
    </row>
    <row r="30" spans="1:17" x14ac:dyDescent="0.2">
      <c r="B30" s="9" t="s">
        <v>56</v>
      </c>
      <c r="C30" s="48">
        <v>14.564357414513143</v>
      </c>
      <c r="D30" s="48">
        <v>111.33659574468085</v>
      </c>
      <c r="E30" s="48">
        <v>16.215459737406949</v>
      </c>
    </row>
    <row r="31" spans="1:17" x14ac:dyDescent="0.2">
      <c r="B31" s="9" t="s">
        <v>31</v>
      </c>
      <c r="C31" s="48">
        <v>193.6</v>
      </c>
      <c r="D31" s="48">
        <v>6.7708000000000013</v>
      </c>
      <c r="E31" s="48">
        <v>13.108268800000003</v>
      </c>
    </row>
    <row r="32" spans="1:17" x14ac:dyDescent="0.2">
      <c r="B32" s="9" t="s">
        <v>47</v>
      </c>
      <c r="C32" s="48">
        <v>10.76397968534557</v>
      </c>
      <c r="D32" s="48">
        <v>101.29714285714284</v>
      </c>
      <c r="E32" s="48">
        <v>10.903603878978336</v>
      </c>
    </row>
    <row r="33" spans="1:17" s="43" customFormat="1" x14ac:dyDescent="0.2">
      <c r="A33" s="47"/>
      <c r="B33" s="9" t="s">
        <v>34</v>
      </c>
      <c r="C33" s="48">
        <v>9.7623482849105816</v>
      </c>
      <c r="D33" s="48">
        <v>95.193333333333328</v>
      </c>
      <c r="E33" s="48">
        <v>9.2931047440158796</v>
      </c>
      <c r="F33"/>
      <c r="G33"/>
      <c r="H33"/>
      <c r="I33"/>
      <c r="J33"/>
      <c r="K33"/>
      <c r="L33"/>
      <c r="M33"/>
      <c r="N33"/>
      <c r="O33"/>
      <c r="P33"/>
      <c r="Q33"/>
    </row>
    <row r="34" spans="1:17" x14ac:dyDescent="0.2">
      <c r="B34" s="9" t="s">
        <v>58</v>
      </c>
      <c r="C34" s="48">
        <v>9.8014608365309144</v>
      </c>
      <c r="D34" s="48">
        <v>88.786595744680852</v>
      </c>
      <c r="E34" s="48">
        <v>8.7023834100039181</v>
      </c>
    </row>
    <row r="35" spans="1:17" x14ac:dyDescent="0.2">
      <c r="B35" s="9" t="s">
        <v>11</v>
      </c>
      <c r="C35" s="48">
        <v>57.564515483006907</v>
      </c>
      <c r="D35" s="48">
        <v>12.45936301369863</v>
      </c>
      <c r="E35" s="48">
        <v>7.1721719511045841</v>
      </c>
    </row>
    <row r="36" spans="1:17" s="43" customFormat="1" x14ac:dyDescent="0.2">
      <c r="A36" s="47"/>
      <c r="B36" s="9" t="s">
        <v>14</v>
      </c>
      <c r="C36" s="48">
        <v>45.102239425563226</v>
      </c>
      <c r="D36" s="48">
        <v>7.1628630136986304</v>
      </c>
      <c r="E36" s="48">
        <v>3.2306116261634701</v>
      </c>
      <c r="F36"/>
      <c r="G36"/>
      <c r="H36"/>
      <c r="I36"/>
      <c r="J36"/>
      <c r="K36"/>
      <c r="L36"/>
      <c r="M36"/>
      <c r="N36"/>
      <c r="O36"/>
      <c r="P36"/>
      <c r="Q36"/>
    </row>
    <row r="37" spans="1:17" x14ac:dyDescent="0.2">
      <c r="B37" s="9" t="s">
        <v>82</v>
      </c>
      <c r="C37" s="48">
        <v>0.114</v>
      </c>
      <c r="D37" s="48">
        <v>499.19160278745642</v>
      </c>
      <c r="E37" s="48">
        <v>0.5690784271777003</v>
      </c>
    </row>
    <row r="38" spans="1:17" x14ac:dyDescent="0.2">
      <c r="B38" s="9" t="s">
        <v>21</v>
      </c>
      <c r="C38" s="48">
        <v>5.7513471036054877</v>
      </c>
      <c r="D38" s="48">
        <v>6.2426795252225524</v>
      </c>
      <c r="E38" s="48">
        <v>0.3590381680612601</v>
      </c>
    </row>
    <row r="39" spans="1:17" x14ac:dyDescent="0.2">
      <c r="B39" s="9" t="s">
        <v>80</v>
      </c>
      <c r="C39" s="48">
        <v>0.16125</v>
      </c>
      <c r="D39" s="48">
        <v>122.00714285714285</v>
      </c>
      <c r="E39" s="48">
        <v>0.19673651785714286</v>
      </c>
    </row>
    <row r="40" spans="1:17" x14ac:dyDescent="0.2">
      <c r="B40" s="9" t="s">
        <v>77</v>
      </c>
      <c r="C40" s="48">
        <v>0.18812499999999999</v>
      </c>
      <c r="D40" s="48">
        <v>96.865014245014251</v>
      </c>
      <c r="E40" s="48">
        <v>0.18222730804843304</v>
      </c>
    </row>
    <row r="41" spans="1:17" s="43" customFormat="1" x14ac:dyDescent="0.2">
      <c r="A41" s="47"/>
      <c r="B41" s="9" t="s">
        <v>68</v>
      </c>
      <c r="C41" s="48">
        <v>0.18812499999999999</v>
      </c>
      <c r="D41" s="48">
        <v>90.690611510791371</v>
      </c>
      <c r="E41" s="48">
        <v>0.17061171290467628</v>
      </c>
      <c r="F41"/>
      <c r="G41"/>
      <c r="H41"/>
      <c r="I41"/>
      <c r="J41"/>
      <c r="K41"/>
      <c r="L41"/>
      <c r="M41"/>
      <c r="N41"/>
      <c r="O41"/>
      <c r="P41"/>
      <c r="Q41"/>
    </row>
    <row r="42" spans="1:17" x14ac:dyDescent="0.2">
      <c r="B42" s="9" t="s">
        <v>66</v>
      </c>
      <c r="C42" s="48">
        <v>0.16125</v>
      </c>
      <c r="D42" s="48">
        <v>101.66792452830188</v>
      </c>
      <c r="E42" s="48">
        <v>0.16393952830188677</v>
      </c>
    </row>
    <row r="43" spans="1:17" x14ac:dyDescent="0.2">
      <c r="B43" s="9" t="s">
        <v>83</v>
      </c>
      <c r="C43" s="48">
        <v>0.152</v>
      </c>
      <c r="D43" s="48">
        <v>98.801379310344828</v>
      </c>
      <c r="E43" s="48">
        <v>0.15017809655172415</v>
      </c>
    </row>
    <row r="44" spans="1:17" x14ac:dyDescent="0.2">
      <c r="B44" s="9" t="s">
        <v>78</v>
      </c>
      <c r="C44" s="48">
        <v>0.1509375</v>
      </c>
      <c r="D44" s="48">
        <v>96.713403361344533</v>
      </c>
      <c r="E44" s="48">
        <v>0.14597679319852941</v>
      </c>
    </row>
    <row r="45" spans="1:17" x14ac:dyDescent="0.2">
      <c r="B45" s="9" t="s">
        <v>37</v>
      </c>
      <c r="C45" s="48">
        <v>0.16125</v>
      </c>
      <c r="D45" s="48">
        <v>88.450252918287944</v>
      </c>
      <c r="E45" s="48">
        <v>0.1426260328307393</v>
      </c>
    </row>
    <row r="46" spans="1:17" s="34" customFormat="1" x14ac:dyDescent="0.2">
      <c r="A46" s="47"/>
      <c r="B46" s="9" t="s">
        <v>79</v>
      </c>
      <c r="C46" s="48">
        <v>0.16125</v>
      </c>
      <c r="D46" s="48">
        <v>84.461724137931029</v>
      </c>
      <c r="E46" s="48">
        <v>0.13619453017241379</v>
      </c>
      <c r="F46"/>
      <c r="G46"/>
      <c r="H46"/>
      <c r="I46"/>
      <c r="J46"/>
      <c r="K46"/>
      <c r="L46"/>
      <c r="M46"/>
      <c r="N46"/>
      <c r="O46"/>
      <c r="P46"/>
      <c r="Q46"/>
    </row>
    <row r="47" spans="1:17" x14ac:dyDescent="0.2">
      <c r="B47" s="9" t="s">
        <v>70</v>
      </c>
      <c r="C47" s="48">
        <v>0.12937499999999999</v>
      </c>
      <c r="D47" s="48">
        <v>99.480769230769226</v>
      </c>
      <c r="E47" s="48">
        <v>0.12870324519230766</v>
      </c>
    </row>
    <row r="48" spans="1:17" x14ac:dyDescent="0.2">
      <c r="B48" s="9" t="s">
        <v>73</v>
      </c>
      <c r="C48" s="48">
        <v>0.12937499999999999</v>
      </c>
      <c r="D48" s="48">
        <v>91.200611510791362</v>
      </c>
      <c r="E48" s="48">
        <v>0.11799079114208631</v>
      </c>
    </row>
    <row r="49" spans="2:5" x14ac:dyDescent="0.2">
      <c r="B49" s="9" t="s">
        <v>72</v>
      </c>
      <c r="C49" s="48">
        <v>0.16125</v>
      </c>
      <c r="D49" s="48">
        <v>65.090578512396689</v>
      </c>
      <c r="E49" s="48">
        <v>0.10495855785123967</v>
      </c>
    </row>
    <row r="50" spans="2:5" x14ac:dyDescent="0.2">
      <c r="B50" s="9" t="s">
        <v>81</v>
      </c>
      <c r="C50" s="48">
        <v>0.114</v>
      </c>
      <c r="D50" s="48">
        <v>91.168859649122822</v>
      </c>
      <c r="E50" s="48">
        <v>0.10393250000000002</v>
      </c>
    </row>
    <row r="51" spans="2:5" x14ac:dyDescent="0.2">
      <c r="B51" s="9" t="s">
        <v>85</v>
      </c>
      <c r="C51" s="48">
        <v>0.114</v>
      </c>
      <c r="D51" s="48">
        <v>83.042098765432115</v>
      </c>
      <c r="E51" s="48">
        <v>9.4667992592592606E-2</v>
      </c>
    </row>
    <row r="52" spans="2:5" x14ac:dyDescent="0.2">
      <c r="B52" s="9" t="s">
        <v>71</v>
      </c>
      <c r="C52" s="48">
        <v>0.12937499999999999</v>
      </c>
      <c r="D52" s="48">
        <v>46.121929824561406</v>
      </c>
      <c r="E52" s="48">
        <v>5.9670246710526315E-2</v>
      </c>
    </row>
    <row r="53" spans="2:5" x14ac:dyDescent="0.2">
      <c r="B53" s="9" t="s">
        <v>76</v>
      </c>
      <c r="C53" s="48">
        <v>0.54</v>
      </c>
      <c r="D53" s="48">
        <v>5.022333333333334</v>
      </c>
      <c r="E53" s="48">
        <v>2.7120600000000005E-2</v>
      </c>
    </row>
    <row r="54" spans="2:5" x14ac:dyDescent="0.2">
      <c r="B54" s="9" t="s">
        <v>74</v>
      </c>
      <c r="C54" s="48">
        <v>0.16500000000000001</v>
      </c>
      <c r="D54" s="48">
        <v>4.5878333333333341</v>
      </c>
      <c r="E54" s="48">
        <v>7.5699250000000017E-3</v>
      </c>
    </row>
    <row r="55" spans="2:5" x14ac:dyDescent="0.2">
      <c r="B55" s="29" t="s">
        <v>20</v>
      </c>
      <c r="C55" s="48"/>
      <c r="D55" s="48"/>
      <c r="E55" s="34"/>
    </row>
    <row r="56" spans="2:5" x14ac:dyDescent="0.2">
      <c r="B56" s="38" t="s">
        <v>22</v>
      </c>
      <c r="C56" s="48">
        <v>0</v>
      </c>
      <c r="D56" s="48"/>
      <c r="E56" s="43"/>
    </row>
    <row r="57" spans="2:5" x14ac:dyDescent="0.2">
      <c r="B57" s="29" t="s">
        <v>30</v>
      </c>
      <c r="C57" s="48"/>
      <c r="D57" s="48"/>
      <c r="E57" s="34"/>
    </row>
    <row r="58" spans="2:5" x14ac:dyDescent="0.2">
      <c r="B58" s="29" t="s">
        <v>38</v>
      </c>
      <c r="C58" s="48"/>
      <c r="D58" s="48"/>
      <c r="E58" s="34"/>
    </row>
    <row r="59" spans="2:5" x14ac:dyDescent="0.2">
      <c r="B59" s="38" t="s">
        <v>40</v>
      </c>
      <c r="C59" s="48">
        <v>0</v>
      </c>
      <c r="D59" s="48"/>
      <c r="E59" s="43"/>
    </row>
    <row r="60" spans="2:5" x14ac:dyDescent="0.2">
      <c r="B60" s="38" t="s">
        <v>46</v>
      </c>
      <c r="C60" s="48">
        <v>0</v>
      </c>
      <c r="D60" s="48"/>
      <c r="E60" s="43"/>
    </row>
    <row r="61" spans="2:5" x14ac:dyDescent="0.2">
      <c r="B61" s="38" t="s">
        <v>50</v>
      </c>
      <c r="C61" s="48"/>
      <c r="D61" s="48"/>
      <c r="E61" s="43"/>
    </row>
    <row r="62" spans="2:5" x14ac:dyDescent="0.2">
      <c r="B62" s="38" t="s">
        <v>59</v>
      </c>
      <c r="C62" s="48"/>
      <c r="D62" s="48"/>
      <c r="E62" s="43"/>
    </row>
    <row r="63" spans="2:5" x14ac:dyDescent="0.2">
      <c r="B63" s="29" t="s">
        <v>65</v>
      </c>
      <c r="C63" s="48"/>
      <c r="D63" s="48"/>
      <c r="E63" s="34"/>
    </row>
    <row r="64" spans="2:5" x14ac:dyDescent="0.2">
      <c r="B64" s="9"/>
      <c r="C64" s="48"/>
      <c r="D64" s="48"/>
      <c r="E64" s="48"/>
    </row>
    <row r="65" spans="2:5" x14ac:dyDescent="0.2">
      <c r="B65" s="9"/>
      <c r="C65" s="48"/>
      <c r="D65" s="48"/>
      <c r="E65" s="48"/>
    </row>
    <row r="66" spans="2:5" x14ac:dyDescent="0.2">
      <c r="B66" s="9"/>
      <c r="C66" s="48"/>
      <c r="D66" s="48"/>
      <c r="E66" s="48"/>
    </row>
    <row r="67" spans="2:5" x14ac:dyDescent="0.2">
      <c r="B67" s="16"/>
    </row>
    <row r="69" spans="2:5" x14ac:dyDescent="0.2">
      <c r="B69" s="10"/>
    </row>
  </sheetData>
  <sortState ref="B6:E66">
    <sortCondition descending="1" ref="E6:E66"/>
  </sortState>
  <mergeCells count="1">
    <mergeCell ref="C4:E4"/>
  </mergeCells>
  <conditionalFormatting sqref="E6:E54">
    <cfRule type="colorScale" priority="1">
      <colorScale>
        <cfvo type="percentile" val="20"/>
        <cfvo type="percentile" val="50"/>
        <cfvo type="percentile" val="85"/>
        <color rgb="FF008000"/>
        <color rgb="FFFFEB84"/>
        <color rgb="FFFF6600"/>
      </colorScale>
    </cfRule>
  </conditionalFormatting>
  <pageMargins left="0.75" right="0.75" top="1" bottom="1" header="0.5" footer="0.5"/>
  <pageSetup orientation="portrait"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00FF"/>
  </sheetPr>
  <dimension ref="A1:BB70"/>
  <sheetViews>
    <sheetView topLeftCell="A3" workbookViewId="0">
      <pane xSplit="7245" ySplit="2220" topLeftCell="C1" activePane="bottomRight"/>
      <selection activeCell="A3" sqref="A3"/>
      <selection pane="topRight" activeCell="BE5" sqref="BE5"/>
      <selection pane="bottomLeft" activeCell="B13" sqref="B13"/>
      <selection pane="bottomRight" activeCell="I12" sqref="I12"/>
    </sheetView>
  </sheetViews>
  <sheetFormatPr defaultColWidth="11.42578125" defaultRowHeight="15" x14ac:dyDescent="0.25"/>
  <cols>
    <col min="1" max="1" width="26.140625" style="47" customWidth="1"/>
    <col min="2" max="2" width="29.28515625" style="1" customWidth="1"/>
    <col min="5" max="7" width="21.7109375" style="1" customWidth="1"/>
    <col min="10" max="10" width="21.7109375" style="1" customWidth="1"/>
    <col min="11" max="11" width="15.28515625" style="1" customWidth="1"/>
    <col min="12" max="12" width="14.28515625" customWidth="1"/>
    <col min="18" max="19" width="15.85546875" customWidth="1"/>
    <col min="20" max="29" width="9.85546875" customWidth="1"/>
    <col min="52" max="52" width="12" customWidth="1"/>
  </cols>
  <sheetData>
    <row r="1" spans="2:54" x14ac:dyDescent="0.2">
      <c r="B1"/>
      <c r="E1"/>
      <c r="F1"/>
      <c r="G1"/>
      <c r="J1"/>
      <c r="K1"/>
    </row>
    <row r="2" spans="2:54" x14ac:dyDescent="0.2">
      <c r="B2"/>
      <c r="E2"/>
      <c r="F2"/>
      <c r="G2"/>
      <c r="J2"/>
      <c r="K2"/>
    </row>
    <row r="3" spans="2:54" x14ac:dyDescent="0.2">
      <c r="B3"/>
      <c r="E3"/>
      <c r="F3"/>
      <c r="G3"/>
      <c r="J3"/>
      <c r="K3"/>
    </row>
    <row r="4" spans="2:54" ht="27.95" customHeight="1" x14ac:dyDescent="0.2">
      <c r="B4" s="3"/>
      <c r="C4" s="17" t="s">
        <v>88</v>
      </c>
      <c r="D4" s="3" t="s">
        <v>89</v>
      </c>
      <c r="E4" s="3" t="s">
        <v>99</v>
      </c>
      <c r="F4" s="3" t="s">
        <v>96</v>
      </c>
      <c r="G4" s="3"/>
      <c r="H4" s="3"/>
      <c r="I4" s="3"/>
      <c r="J4" s="3"/>
      <c r="K4" s="3" t="s">
        <v>100</v>
      </c>
      <c r="L4" s="3" t="s">
        <v>101</v>
      </c>
      <c r="M4" s="3" t="s">
        <v>99</v>
      </c>
      <c r="N4" s="3" t="s">
        <v>96</v>
      </c>
      <c r="O4" s="3"/>
      <c r="P4" s="3"/>
      <c r="Q4" s="3"/>
      <c r="R4" s="3"/>
      <c r="S4" s="3"/>
      <c r="T4" s="3"/>
      <c r="U4" s="3"/>
      <c r="V4" s="50"/>
      <c r="W4" s="50"/>
      <c r="X4" s="50"/>
      <c r="Y4" s="50"/>
      <c r="Z4" s="50"/>
      <c r="AA4" s="50"/>
      <c r="AB4" s="50"/>
      <c r="AC4" s="50"/>
      <c r="AE4" s="88" t="s">
        <v>103</v>
      </c>
      <c r="AF4" s="89"/>
      <c r="AG4" s="89"/>
      <c r="AH4" s="89"/>
      <c r="AI4" s="89"/>
      <c r="AJ4" s="89"/>
      <c r="AK4" s="90"/>
      <c r="AM4" s="91" t="s">
        <v>113</v>
      </c>
      <c r="AN4" s="92"/>
      <c r="AO4" s="92"/>
      <c r="AP4" s="92"/>
      <c r="AQ4" s="92"/>
      <c r="AR4" s="92"/>
      <c r="AS4" s="92"/>
      <c r="AT4" s="92"/>
      <c r="AU4" s="92"/>
      <c r="AV4" s="92"/>
      <c r="AW4" s="92"/>
      <c r="AX4" s="93"/>
      <c r="AZ4" s="84" t="s">
        <v>130</v>
      </c>
      <c r="BA4" s="85"/>
      <c r="BB4" s="86"/>
    </row>
    <row r="5" spans="2:54" ht="45" x14ac:dyDescent="0.2">
      <c r="B5" s="4" t="s">
        <v>0</v>
      </c>
      <c r="C5" s="94" t="s">
        <v>87</v>
      </c>
      <c r="D5" s="94"/>
      <c r="E5" s="94" t="s">
        <v>98</v>
      </c>
      <c r="F5" s="94"/>
      <c r="G5" s="50" t="s">
        <v>94</v>
      </c>
      <c r="H5" s="50" t="s">
        <v>90</v>
      </c>
      <c r="I5" s="50" t="s">
        <v>91</v>
      </c>
      <c r="J5" s="50" t="s">
        <v>95</v>
      </c>
      <c r="K5" s="94" t="s">
        <v>102</v>
      </c>
      <c r="L5" s="94"/>
      <c r="M5" s="94" t="s">
        <v>97</v>
      </c>
      <c r="N5" s="94"/>
      <c r="O5" s="50" t="s">
        <v>93</v>
      </c>
      <c r="P5" s="50" t="s">
        <v>105</v>
      </c>
      <c r="Q5" s="50" t="s">
        <v>140</v>
      </c>
      <c r="R5" s="50" t="s">
        <v>106</v>
      </c>
      <c r="S5" s="50" t="s">
        <v>110</v>
      </c>
      <c r="T5" s="50" t="s">
        <v>108</v>
      </c>
      <c r="U5" s="50" t="s">
        <v>67</v>
      </c>
      <c r="V5" s="50" t="s">
        <v>114</v>
      </c>
      <c r="W5" s="50" t="s">
        <v>116</v>
      </c>
      <c r="X5" s="50" t="s">
        <v>119</v>
      </c>
      <c r="Y5" s="50" t="s">
        <v>120</v>
      </c>
      <c r="Z5" s="50" t="s">
        <v>122</v>
      </c>
      <c r="AA5" s="50" t="s">
        <v>124</v>
      </c>
      <c r="AB5" s="50" t="s">
        <v>126</v>
      </c>
      <c r="AC5" s="50" t="s">
        <v>134</v>
      </c>
      <c r="AE5" s="19" t="s">
        <v>92</v>
      </c>
      <c r="AF5" s="19" t="s">
        <v>111</v>
      </c>
      <c r="AG5" s="19" t="s">
        <v>104</v>
      </c>
      <c r="AH5" s="19" t="s">
        <v>112</v>
      </c>
      <c r="AI5" s="19" t="s">
        <v>141</v>
      </c>
      <c r="AJ5" s="19" t="s">
        <v>107</v>
      </c>
      <c r="AK5" s="19" t="s">
        <v>109</v>
      </c>
      <c r="AM5" s="22" t="s">
        <v>112</v>
      </c>
      <c r="AN5" s="22" t="s">
        <v>118</v>
      </c>
      <c r="AO5" s="22" t="s">
        <v>115</v>
      </c>
      <c r="AP5" s="22" t="s">
        <v>117</v>
      </c>
      <c r="AQ5" s="22" t="s">
        <v>119</v>
      </c>
      <c r="AR5" s="22" t="s">
        <v>121</v>
      </c>
      <c r="AS5" s="22" t="s">
        <v>123</v>
      </c>
      <c r="AT5" s="22" t="s">
        <v>125</v>
      </c>
      <c r="AU5" s="22" t="s">
        <v>127</v>
      </c>
      <c r="AV5" s="22" t="s">
        <v>133</v>
      </c>
      <c r="AW5" s="22" t="s">
        <v>142</v>
      </c>
      <c r="AX5" s="22" t="s">
        <v>128</v>
      </c>
      <c r="AZ5" s="49" t="s">
        <v>129</v>
      </c>
      <c r="BA5" s="49" t="s">
        <v>131</v>
      </c>
      <c r="BB5" s="49" t="s">
        <v>132</v>
      </c>
    </row>
    <row r="6" spans="2:54" x14ac:dyDescent="0.2">
      <c r="B6" s="18" t="s">
        <v>1</v>
      </c>
      <c r="C6" s="2">
        <v>0</v>
      </c>
      <c r="D6" s="2">
        <v>0</v>
      </c>
      <c r="E6" s="12">
        <v>1000</v>
      </c>
      <c r="F6" s="5">
        <v>3000</v>
      </c>
      <c r="G6" s="12">
        <v>8</v>
      </c>
      <c r="H6" s="13">
        <v>635</v>
      </c>
      <c r="I6" s="2"/>
      <c r="J6" s="12">
        <v>8</v>
      </c>
      <c r="K6" s="5">
        <v>2</v>
      </c>
      <c r="L6" s="2">
        <v>24</v>
      </c>
      <c r="M6" s="13">
        <f>0.0008*E6*POWER($J6, 1.3333)</f>
        <v>12.799112802357159</v>
      </c>
      <c r="N6" s="13">
        <f>0.0008*F6*POWER($J6, 1.3333)</f>
        <v>38.397338407071473</v>
      </c>
      <c r="O6" s="14">
        <f>H6+(L6*N6*0.02)</f>
        <v>653.43072243539427</v>
      </c>
      <c r="P6" s="13">
        <v>3</v>
      </c>
      <c r="Q6" s="13"/>
      <c r="R6" t="s">
        <v>2</v>
      </c>
      <c r="S6" t="s">
        <v>6</v>
      </c>
      <c r="T6" t="s">
        <v>4</v>
      </c>
      <c r="W6">
        <v>4</v>
      </c>
      <c r="Y6">
        <v>1928</v>
      </c>
      <c r="Z6">
        <v>0.33200000000000002</v>
      </c>
      <c r="AA6" s="20">
        <v>40754</v>
      </c>
      <c r="AB6" s="21">
        <v>0.1353</v>
      </c>
      <c r="AC6" s="21"/>
      <c r="AE6" s="11" t="e">
        <f>O6*#REF!</f>
        <v>#REF!</v>
      </c>
      <c r="AF6" t="e">
        <f>IF(#REF! = "DOT",#REF!, 0) + IF(#REF! = "USCG",#REF!, 0)</f>
        <v>#REF!</v>
      </c>
      <c r="AG6" t="e">
        <f>IF(#REF! = "Yes",#REF!, 0) + IF(#REF! = "Yes",#REF!, 0)</f>
        <v>#REF!</v>
      </c>
      <c r="AH6" t="e">
        <f>P6*#REF!</f>
        <v>#REF!</v>
      </c>
      <c r="AI6" t="e">
        <f>Q6*#REF!</f>
        <v>#REF!</v>
      </c>
      <c r="AJ6">
        <f>IF(R6 = "Butane",#REF!, 0) + IF(R6 = "Avjet",#REF!, 0) + IF(R6 = "Avgas",#REF!, 0)</f>
        <v>0</v>
      </c>
      <c r="AK6" t="e">
        <f>IF(T6 = "Yes",#REF!, 0 )  +  IF(U6 = "Yes",#REF!, 0 )</f>
        <v>#REF!</v>
      </c>
      <c r="AM6" t="e">
        <f>P6*#REF!</f>
        <v>#REF!</v>
      </c>
      <c r="AN6">
        <v>1</v>
      </c>
      <c r="AP6" t="e">
        <f>W6*#REF!</f>
        <v>#REF!</v>
      </c>
      <c r="AQ6">
        <f>IF(X6 = "Hi Temp",#REF!, 0)</f>
        <v>0</v>
      </c>
      <c r="AR6" t="e">
        <f>(2013 - Y6)*#REF!</f>
        <v>#REF!</v>
      </c>
      <c r="AS6" s="11" t="e">
        <f>#REF! / 'RISK (2 old)'!Z6</f>
        <v>#REF!</v>
      </c>
      <c r="AT6" t="e">
        <f>(DATE(2013,6,1) - AA6) *#REF!</f>
        <v>#REF!</v>
      </c>
      <c r="AU6" t="e">
        <f>AB6*#REF!</f>
        <v>#REF!</v>
      </c>
      <c r="AW6">
        <f xml:space="preserve"> IF(AC6 = "", 1,#REF!)</f>
        <v>1</v>
      </c>
      <c r="AX6">
        <v>1</v>
      </c>
      <c r="AZ6" s="48" t="e">
        <f>AE6*SUM(AF6:AK6) / 1000</f>
        <v>#REF!</v>
      </c>
      <c r="BA6" s="48" t="e">
        <f>(AM6+SUM(AO6:AV6)) *AN6*AX6*AW6</f>
        <v>#REF!</v>
      </c>
      <c r="BB6" s="48" t="e">
        <f>AZ6*BA6/100</f>
        <v>#REF!</v>
      </c>
    </row>
    <row r="7" spans="2:54" x14ac:dyDescent="0.2">
      <c r="B7" s="9" t="s">
        <v>135</v>
      </c>
      <c r="C7" s="2">
        <v>0</v>
      </c>
      <c r="D7" s="2">
        <v>0</v>
      </c>
      <c r="E7" s="12">
        <v>400</v>
      </c>
      <c r="F7" s="5">
        <v>600</v>
      </c>
      <c r="G7" s="12">
        <v>6</v>
      </c>
      <c r="H7" s="13">
        <f>1658 / 5</f>
        <v>331.6</v>
      </c>
      <c r="I7" s="2">
        <f>1751/5</f>
        <v>350.2</v>
      </c>
      <c r="J7" s="12">
        <v>6</v>
      </c>
      <c r="K7" s="5">
        <v>0</v>
      </c>
      <c r="L7" s="2">
        <v>168</v>
      </c>
      <c r="M7" s="13">
        <f>0.008*E7*POWER($J7, 1.3333)</f>
        <v>34.886631705063309</v>
      </c>
      <c r="N7" s="13">
        <f>0.008*F7*POWER($J7, 1.3333)</f>
        <v>52.329947557594963</v>
      </c>
      <c r="O7" s="14">
        <f t="shared" ref="O7:O67" si="0">H7+(L7*N7*0.02)</f>
        <v>507.42862379351914</v>
      </c>
      <c r="P7" s="13">
        <v>6</v>
      </c>
      <c r="Q7" s="13">
        <v>1</v>
      </c>
      <c r="R7" t="s">
        <v>8</v>
      </c>
      <c r="S7" t="s">
        <v>10</v>
      </c>
      <c r="T7" t="s">
        <v>4</v>
      </c>
      <c r="U7" t="s">
        <v>4</v>
      </c>
      <c r="V7" t="s">
        <v>3</v>
      </c>
      <c r="W7">
        <v>0</v>
      </c>
      <c r="Y7">
        <v>1953</v>
      </c>
      <c r="Z7">
        <v>0.28000000000000003</v>
      </c>
      <c r="AA7" s="20">
        <v>39934</v>
      </c>
      <c r="AB7" s="21">
        <v>0.4929</v>
      </c>
      <c r="AC7" s="21" t="s">
        <v>9</v>
      </c>
      <c r="AE7" s="11" t="e">
        <f>O7*#REF!</f>
        <v>#REF!</v>
      </c>
      <c r="AF7" t="e">
        <f>IF(#REF! = "DOT",#REF!, 0) + IF(#REF! = "USCG",#REF!, 0)</f>
        <v>#REF!</v>
      </c>
      <c r="AG7" t="e">
        <f>IF(#REF! = "Yes",#REF!, 0) + IF(#REF! = "Yes",#REF!, 0)</f>
        <v>#REF!</v>
      </c>
      <c r="AH7" t="e">
        <f>P7*#REF!</f>
        <v>#REF!</v>
      </c>
      <c r="AI7" t="e">
        <f>Q7*#REF!</f>
        <v>#REF!</v>
      </c>
      <c r="AJ7" t="e">
        <f>IF(R7 = "Butane",#REF!, 0) + IF(R7 = "Avjet",#REF!, 0) + IF(R7 = "Avgas",#REF!, 0)</f>
        <v>#REF!</v>
      </c>
      <c r="AK7" t="e">
        <f>IF(T7 = "Yes",#REF!, 0 )  +  IF(U7 = "Yes",#REF!, 0 )</f>
        <v>#REF!</v>
      </c>
      <c r="AM7" t="e">
        <f>P7*#REF!</f>
        <v>#REF!</v>
      </c>
      <c r="AN7" t="e">
        <f>#REF!</f>
        <v>#REF!</v>
      </c>
      <c r="AP7" t="e">
        <f>W7*#REF!</f>
        <v>#REF!</v>
      </c>
      <c r="AQ7">
        <f>IF(X7 = "Hi Temp",#REF!, 0)</f>
        <v>0</v>
      </c>
      <c r="AR7" t="e">
        <f>(2013 - Y7)*#REF!</f>
        <v>#REF!</v>
      </c>
      <c r="AS7" s="11" t="e">
        <f>#REF! / 'RISK (2 old)'!Z7</f>
        <v>#REF!</v>
      </c>
      <c r="AT7" t="e">
        <f>(DATE(2013,6,1) - AA7) *#REF!</f>
        <v>#REF!</v>
      </c>
      <c r="AU7" t="e">
        <f>AB7*#REF!</f>
        <v>#REF!</v>
      </c>
      <c r="AV7" t="e">
        <f>#REF!</f>
        <v>#REF!</v>
      </c>
      <c r="AW7" t="e">
        <f xml:space="preserve"> IF(AC7 = "", 1,#REF!)</f>
        <v>#REF!</v>
      </c>
      <c r="AX7">
        <v>1</v>
      </c>
      <c r="AZ7" s="48" t="e">
        <f t="shared" ref="AZ7:AZ67" si="1">AE7*SUM(AF7:AK7) / 1000</f>
        <v>#REF!</v>
      </c>
      <c r="BA7" s="48" t="e">
        <f t="shared" ref="BA7:BA67" si="2">(AM7+SUM(AO7:AV7)) *AN7*AX7*AW7</f>
        <v>#REF!</v>
      </c>
      <c r="BB7" s="48" t="e">
        <f t="shared" ref="BB7:BB67" si="3">AZ7*BA7/100</f>
        <v>#REF!</v>
      </c>
    </row>
    <row r="8" spans="2:54" x14ac:dyDescent="0.2">
      <c r="B8" s="9" t="s">
        <v>136</v>
      </c>
      <c r="C8" s="2">
        <v>0</v>
      </c>
      <c r="D8" s="2">
        <v>0</v>
      </c>
      <c r="E8" s="12">
        <v>400</v>
      </c>
      <c r="F8" s="5">
        <v>600</v>
      </c>
      <c r="G8" s="12">
        <v>6</v>
      </c>
      <c r="H8" s="13">
        <f t="shared" ref="H8:H12" si="4">1658 / 5</f>
        <v>331.6</v>
      </c>
      <c r="I8" s="2">
        <f t="shared" ref="I8:I12" si="5">1751/5</f>
        <v>350.2</v>
      </c>
      <c r="J8" s="12">
        <v>6</v>
      </c>
      <c r="K8" s="5">
        <v>0</v>
      </c>
      <c r="L8" s="2">
        <v>168</v>
      </c>
      <c r="M8" s="13">
        <f t="shared" ref="M8:N11" si="6">0.008*E8*POWER($J8, 1.3333)</f>
        <v>34.886631705063309</v>
      </c>
      <c r="N8" s="13">
        <f t="shared" si="6"/>
        <v>52.329947557594963</v>
      </c>
      <c r="O8" s="14">
        <f t="shared" si="0"/>
        <v>507.42862379351914</v>
      </c>
      <c r="P8" s="13">
        <v>8</v>
      </c>
      <c r="Q8" s="13">
        <v>1</v>
      </c>
      <c r="R8" t="s">
        <v>8</v>
      </c>
      <c r="S8" t="s">
        <v>10</v>
      </c>
      <c r="T8" t="s">
        <v>4</v>
      </c>
      <c r="U8" t="s">
        <v>4</v>
      </c>
      <c r="V8" t="s">
        <v>3</v>
      </c>
      <c r="W8">
        <v>0</v>
      </c>
      <c r="Y8">
        <v>1953</v>
      </c>
      <c r="Z8">
        <v>0.28000000000000003</v>
      </c>
      <c r="AA8" s="20">
        <v>39934</v>
      </c>
      <c r="AB8" s="21">
        <v>0.4929</v>
      </c>
      <c r="AC8" s="21" t="s">
        <v>9</v>
      </c>
      <c r="AE8" s="11" t="e">
        <f>O8*#REF!</f>
        <v>#REF!</v>
      </c>
      <c r="AF8" t="e">
        <f>IF(#REF! = "DOT",#REF!, 0) + IF(#REF! = "USCG",#REF!, 0)</f>
        <v>#REF!</v>
      </c>
      <c r="AG8" t="e">
        <f>IF(#REF! = "Yes",#REF!, 0) + IF(#REF! = "Yes",#REF!, 0)</f>
        <v>#REF!</v>
      </c>
      <c r="AH8" t="e">
        <f>P8*#REF!</f>
        <v>#REF!</v>
      </c>
      <c r="AI8" t="e">
        <f>Q8*#REF!</f>
        <v>#REF!</v>
      </c>
      <c r="AJ8" t="e">
        <f>IF(R8 = "Butane",#REF!, 0) + IF(R8 = "Avjet",#REF!, 0) + IF(R8 = "Avgas",#REF!, 0)</f>
        <v>#REF!</v>
      </c>
      <c r="AK8" t="e">
        <f>IF(T8 = "Yes",#REF!, 0 )  +  IF(U8 = "Yes",#REF!, 0 )</f>
        <v>#REF!</v>
      </c>
      <c r="AM8" t="e">
        <f>P8*#REF!</f>
        <v>#REF!</v>
      </c>
      <c r="AN8" t="e">
        <f>#REF!</f>
        <v>#REF!</v>
      </c>
      <c r="AP8" t="e">
        <f>W8*#REF!</f>
        <v>#REF!</v>
      </c>
      <c r="AQ8">
        <f>IF(X8 = "Hi Temp",#REF!, 0)</f>
        <v>0</v>
      </c>
      <c r="AR8" t="e">
        <f>(2013 - Y8)*#REF!</f>
        <v>#REF!</v>
      </c>
      <c r="AS8" s="11" t="e">
        <f>#REF! / 'RISK (2 old)'!Z8</f>
        <v>#REF!</v>
      </c>
      <c r="AT8" t="e">
        <f>(DATE(2013,6,1) - AA8) *#REF!</f>
        <v>#REF!</v>
      </c>
      <c r="AU8" t="e">
        <f>AB8*#REF!</f>
        <v>#REF!</v>
      </c>
      <c r="AV8" t="e">
        <f>#REF!</f>
        <v>#REF!</v>
      </c>
      <c r="AW8" t="e">
        <f xml:space="preserve"> IF(AC8 = "", 1,#REF!)</f>
        <v>#REF!</v>
      </c>
      <c r="AX8">
        <v>1</v>
      </c>
      <c r="AZ8" s="48" t="e">
        <f t="shared" si="1"/>
        <v>#REF!</v>
      </c>
      <c r="BA8" s="48" t="e">
        <f t="shared" si="2"/>
        <v>#REF!</v>
      </c>
      <c r="BB8" s="48" t="e">
        <f t="shared" si="3"/>
        <v>#REF!</v>
      </c>
    </row>
    <row r="9" spans="2:54" x14ac:dyDescent="0.2">
      <c r="B9" s="9" t="s">
        <v>137</v>
      </c>
      <c r="C9" s="2">
        <v>0</v>
      </c>
      <c r="D9" s="2">
        <v>0</v>
      </c>
      <c r="E9" s="12">
        <v>400</v>
      </c>
      <c r="F9" s="5">
        <v>600</v>
      </c>
      <c r="G9" s="12">
        <v>6</v>
      </c>
      <c r="H9" s="13">
        <f t="shared" si="4"/>
        <v>331.6</v>
      </c>
      <c r="I9" s="2">
        <f t="shared" si="5"/>
        <v>350.2</v>
      </c>
      <c r="J9" s="12">
        <v>6</v>
      </c>
      <c r="K9" s="5">
        <v>0</v>
      </c>
      <c r="L9" s="2">
        <v>168</v>
      </c>
      <c r="M9" s="13">
        <f t="shared" si="6"/>
        <v>34.886631705063309</v>
      </c>
      <c r="N9" s="13">
        <f t="shared" si="6"/>
        <v>52.329947557594963</v>
      </c>
      <c r="O9" s="14">
        <f t="shared" si="0"/>
        <v>507.42862379351914</v>
      </c>
      <c r="P9" s="13">
        <v>10</v>
      </c>
      <c r="Q9" s="13">
        <v>2</v>
      </c>
      <c r="R9" t="s">
        <v>8</v>
      </c>
      <c r="S9" t="s">
        <v>10</v>
      </c>
      <c r="T9" t="s">
        <v>4</v>
      </c>
      <c r="U9" t="s">
        <v>4</v>
      </c>
      <c r="V9" t="s">
        <v>3</v>
      </c>
      <c r="W9">
        <v>0</v>
      </c>
      <c r="Y9">
        <v>1953</v>
      </c>
      <c r="Z9">
        <v>0.28000000000000003</v>
      </c>
      <c r="AA9" s="20">
        <v>39934</v>
      </c>
      <c r="AB9" s="21">
        <v>0.4929</v>
      </c>
      <c r="AC9" s="21" t="s">
        <v>9</v>
      </c>
      <c r="AE9" s="11" t="e">
        <f>O9*#REF!</f>
        <v>#REF!</v>
      </c>
      <c r="AF9" t="e">
        <f>IF(#REF! = "DOT",#REF!, 0) + IF(#REF! = "USCG",#REF!, 0)</f>
        <v>#REF!</v>
      </c>
      <c r="AG9" t="e">
        <f>IF(#REF! = "Yes",#REF!, 0) + IF(#REF! = "Yes",#REF!, 0)</f>
        <v>#REF!</v>
      </c>
      <c r="AH9" t="e">
        <f>P9*#REF!</f>
        <v>#REF!</v>
      </c>
      <c r="AI9" t="e">
        <f>Q9*#REF!</f>
        <v>#REF!</v>
      </c>
      <c r="AJ9" t="e">
        <f>IF(R9 = "Butane",#REF!, 0) + IF(R9 = "Avjet",#REF!, 0) + IF(R9 = "Avgas",#REF!, 0)</f>
        <v>#REF!</v>
      </c>
      <c r="AK9" t="e">
        <f>IF(T9 = "Yes",#REF!, 0 )  +  IF(U9 = "Yes",#REF!, 0 )</f>
        <v>#REF!</v>
      </c>
      <c r="AM9" t="e">
        <f>P9*#REF!</f>
        <v>#REF!</v>
      </c>
      <c r="AN9" t="e">
        <f>#REF!</f>
        <v>#REF!</v>
      </c>
      <c r="AP9" t="e">
        <f>W9*#REF!</f>
        <v>#REF!</v>
      </c>
      <c r="AQ9">
        <f>IF(X9 = "Hi Temp",#REF!, 0)</f>
        <v>0</v>
      </c>
      <c r="AR9" t="e">
        <f>(2013 - Y9)*#REF!</f>
        <v>#REF!</v>
      </c>
      <c r="AS9" s="11" t="e">
        <f>#REF! / 'RISK (2 old)'!Z9</f>
        <v>#REF!</v>
      </c>
      <c r="AT9" t="e">
        <f>(DATE(2013,6,1) - AA9) *#REF!</f>
        <v>#REF!</v>
      </c>
      <c r="AU9" t="e">
        <f>AB9*#REF!</f>
        <v>#REF!</v>
      </c>
      <c r="AV9" t="e">
        <f>#REF!</f>
        <v>#REF!</v>
      </c>
      <c r="AW9" t="e">
        <f xml:space="preserve"> IF(AC9 = "", 1,#REF!)</f>
        <v>#REF!</v>
      </c>
      <c r="AX9">
        <v>1</v>
      </c>
      <c r="AZ9" s="48" t="e">
        <f t="shared" si="1"/>
        <v>#REF!</v>
      </c>
      <c r="BA9" s="48" t="e">
        <f t="shared" si="2"/>
        <v>#REF!</v>
      </c>
      <c r="BB9" s="48" t="e">
        <f t="shared" si="3"/>
        <v>#REF!</v>
      </c>
    </row>
    <row r="10" spans="2:54" x14ac:dyDescent="0.2">
      <c r="B10" s="9" t="s">
        <v>138</v>
      </c>
      <c r="C10" s="2">
        <v>0</v>
      </c>
      <c r="D10" s="2">
        <v>0</v>
      </c>
      <c r="E10" s="12">
        <v>400</v>
      </c>
      <c r="F10" s="5">
        <v>600</v>
      </c>
      <c r="G10" s="12">
        <v>6</v>
      </c>
      <c r="H10" s="13">
        <f t="shared" si="4"/>
        <v>331.6</v>
      </c>
      <c r="I10" s="2">
        <f t="shared" si="5"/>
        <v>350.2</v>
      </c>
      <c r="J10" s="12">
        <v>6</v>
      </c>
      <c r="K10" s="5">
        <v>0</v>
      </c>
      <c r="L10" s="2">
        <v>168</v>
      </c>
      <c r="M10" s="13">
        <f t="shared" si="6"/>
        <v>34.886631705063309</v>
      </c>
      <c r="N10" s="13">
        <f t="shared" si="6"/>
        <v>52.329947557594963</v>
      </c>
      <c r="O10" s="14">
        <f t="shared" si="0"/>
        <v>507.42862379351914</v>
      </c>
      <c r="P10" s="13">
        <v>9</v>
      </c>
      <c r="Q10" s="13">
        <v>3</v>
      </c>
      <c r="R10" t="s">
        <v>8</v>
      </c>
      <c r="S10" t="s">
        <v>10</v>
      </c>
      <c r="T10" t="s">
        <v>4</v>
      </c>
      <c r="U10" t="s">
        <v>4</v>
      </c>
      <c r="V10" t="s">
        <v>3</v>
      </c>
      <c r="W10">
        <v>0</v>
      </c>
      <c r="Y10">
        <v>1953</v>
      </c>
      <c r="Z10">
        <v>0.28000000000000003</v>
      </c>
      <c r="AA10" s="20">
        <v>39934</v>
      </c>
      <c r="AB10" s="21">
        <v>0.4929</v>
      </c>
      <c r="AC10" s="21" t="s">
        <v>9</v>
      </c>
      <c r="AE10" s="11" t="e">
        <f>O10*#REF!</f>
        <v>#REF!</v>
      </c>
      <c r="AF10" t="e">
        <f>IF(#REF! = "DOT",#REF!, 0) + IF(#REF! = "USCG",#REF!, 0)</f>
        <v>#REF!</v>
      </c>
      <c r="AG10" t="e">
        <f>IF(#REF! = "Yes",#REF!, 0) + IF(#REF! = "Yes",#REF!, 0)</f>
        <v>#REF!</v>
      </c>
      <c r="AH10" t="e">
        <f>P10*#REF!</f>
        <v>#REF!</v>
      </c>
      <c r="AI10" t="e">
        <f>Q10*#REF!</f>
        <v>#REF!</v>
      </c>
      <c r="AJ10" t="e">
        <f>IF(R10 = "Butane",#REF!, 0) + IF(R10 = "Avjet",#REF!, 0) + IF(R10 = "Avgas",#REF!, 0)</f>
        <v>#REF!</v>
      </c>
      <c r="AK10" t="e">
        <f>IF(T10 = "Yes",#REF!, 0 )  +  IF(U10 = "Yes",#REF!, 0 )</f>
        <v>#REF!</v>
      </c>
      <c r="AM10" t="e">
        <f>P10*#REF!</f>
        <v>#REF!</v>
      </c>
      <c r="AN10" t="e">
        <f>#REF!</f>
        <v>#REF!</v>
      </c>
      <c r="AP10" t="e">
        <f>W10*#REF!</f>
        <v>#REF!</v>
      </c>
      <c r="AQ10">
        <f>IF(X10 = "Hi Temp",#REF!, 0)</f>
        <v>0</v>
      </c>
      <c r="AR10" t="e">
        <f>(2013 - Y10)*#REF!</f>
        <v>#REF!</v>
      </c>
      <c r="AS10" s="11" t="e">
        <f>#REF! / 'RISK (2 old)'!Z10</f>
        <v>#REF!</v>
      </c>
      <c r="AT10" t="e">
        <f>(DATE(2013,6,1) - AA10) *#REF!</f>
        <v>#REF!</v>
      </c>
      <c r="AU10" t="e">
        <f>AB10*#REF!</f>
        <v>#REF!</v>
      </c>
      <c r="AV10" t="e">
        <f>#REF!</f>
        <v>#REF!</v>
      </c>
      <c r="AW10" t="e">
        <f xml:space="preserve"> IF(AC10 = "", 1,#REF!)</f>
        <v>#REF!</v>
      </c>
      <c r="AX10">
        <v>1</v>
      </c>
      <c r="AZ10" s="48" t="e">
        <f t="shared" si="1"/>
        <v>#REF!</v>
      </c>
      <c r="BA10" s="48" t="e">
        <f t="shared" si="2"/>
        <v>#REF!</v>
      </c>
      <c r="BB10" s="48" t="e">
        <f t="shared" si="3"/>
        <v>#REF!</v>
      </c>
    </row>
    <row r="11" spans="2:54" x14ac:dyDescent="0.2">
      <c r="B11" s="9" t="s">
        <v>139</v>
      </c>
      <c r="C11" s="2">
        <v>0</v>
      </c>
      <c r="D11" s="2">
        <v>0</v>
      </c>
      <c r="E11" s="12">
        <v>400</v>
      </c>
      <c r="F11" s="5">
        <v>600</v>
      </c>
      <c r="G11" s="12">
        <v>6</v>
      </c>
      <c r="H11" s="13">
        <f t="shared" si="4"/>
        <v>331.6</v>
      </c>
      <c r="I11" s="2">
        <f t="shared" si="5"/>
        <v>350.2</v>
      </c>
      <c r="J11" s="12">
        <v>6</v>
      </c>
      <c r="K11" s="5">
        <v>0</v>
      </c>
      <c r="L11" s="2">
        <v>168</v>
      </c>
      <c r="M11" s="13">
        <f t="shared" si="6"/>
        <v>34.886631705063309</v>
      </c>
      <c r="N11" s="13">
        <f t="shared" si="6"/>
        <v>52.329947557594963</v>
      </c>
      <c r="O11" s="14">
        <f t="shared" si="0"/>
        <v>507.42862379351914</v>
      </c>
      <c r="P11" s="13">
        <v>8</v>
      </c>
      <c r="Q11" s="13">
        <v>3</v>
      </c>
      <c r="R11" t="s">
        <v>8</v>
      </c>
      <c r="S11" t="s">
        <v>10</v>
      </c>
      <c r="T11" t="s">
        <v>4</v>
      </c>
      <c r="U11" t="s">
        <v>4</v>
      </c>
      <c r="V11" t="s">
        <v>3</v>
      </c>
      <c r="W11">
        <v>0</v>
      </c>
      <c r="Y11">
        <v>1953</v>
      </c>
      <c r="Z11">
        <v>0.28000000000000003</v>
      </c>
      <c r="AA11" s="20">
        <v>39934</v>
      </c>
      <c r="AB11" s="21">
        <v>0.4929</v>
      </c>
      <c r="AC11" s="21" t="s">
        <v>9</v>
      </c>
      <c r="AE11" s="11" t="e">
        <f>O11*#REF!</f>
        <v>#REF!</v>
      </c>
      <c r="AF11" t="e">
        <f>IF(#REF! = "DOT",#REF!, 0) + IF(#REF! = "USCG",#REF!, 0)</f>
        <v>#REF!</v>
      </c>
      <c r="AG11" t="e">
        <f>IF(#REF! = "Yes",#REF!, 0) + IF(#REF! = "Yes",#REF!, 0)</f>
        <v>#REF!</v>
      </c>
      <c r="AH11" t="e">
        <f>P11*#REF!</f>
        <v>#REF!</v>
      </c>
      <c r="AI11" t="e">
        <f>Q11*#REF!</f>
        <v>#REF!</v>
      </c>
      <c r="AJ11" t="e">
        <f>IF(R11 = "Butane",#REF!, 0) + IF(R11 = "Avjet",#REF!, 0) + IF(R11 = "Avgas",#REF!, 0)</f>
        <v>#REF!</v>
      </c>
      <c r="AK11" t="e">
        <f>IF(T11 = "Yes",#REF!, 0 )  +  IF(U11 = "Yes",#REF!, 0 )</f>
        <v>#REF!</v>
      </c>
      <c r="AM11" t="e">
        <f>P11*#REF!</f>
        <v>#REF!</v>
      </c>
      <c r="AN11" t="e">
        <f>#REF!</f>
        <v>#REF!</v>
      </c>
      <c r="AP11" t="e">
        <f>W11*#REF!</f>
        <v>#REF!</v>
      </c>
      <c r="AQ11">
        <f>IF(X11 = "Hi Temp",#REF!, 0)</f>
        <v>0</v>
      </c>
      <c r="AR11" t="e">
        <f>(2013 - Y11)*#REF!</f>
        <v>#REF!</v>
      </c>
      <c r="AS11" s="11" t="e">
        <f>#REF! / 'RISK (2 old)'!Z11</f>
        <v>#REF!</v>
      </c>
      <c r="AT11" t="e">
        <f>(DATE(2013,6,1) - AA11) *#REF!</f>
        <v>#REF!</v>
      </c>
      <c r="AU11" t="e">
        <f>AB11*#REF!</f>
        <v>#REF!</v>
      </c>
      <c r="AV11" t="e">
        <f>#REF!</f>
        <v>#REF!</v>
      </c>
      <c r="AW11" t="e">
        <f xml:space="preserve"> IF(AC11 = "", 1,#REF!)</f>
        <v>#REF!</v>
      </c>
      <c r="AX11">
        <v>1</v>
      </c>
      <c r="AZ11" s="48" t="e">
        <f t="shared" si="1"/>
        <v>#REF!</v>
      </c>
      <c r="BA11" s="48" t="e">
        <f t="shared" si="2"/>
        <v>#REF!</v>
      </c>
      <c r="BB11" s="48" t="e">
        <f t="shared" si="3"/>
        <v>#REF!</v>
      </c>
    </row>
    <row r="12" spans="2:54" x14ac:dyDescent="0.2">
      <c r="B12" s="9" t="s">
        <v>159</v>
      </c>
      <c r="C12" s="2">
        <v>0</v>
      </c>
      <c r="D12" s="2">
        <v>0</v>
      </c>
      <c r="E12" s="12">
        <v>400</v>
      </c>
      <c r="F12" s="5">
        <v>600</v>
      </c>
      <c r="G12" s="12">
        <v>6</v>
      </c>
      <c r="H12" s="13">
        <f t="shared" si="4"/>
        <v>331.6</v>
      </c>
      <c r="I12" s="2">
        <f t="shared" si="5"/>
        <v>350.2</v>
      </c>
      <c r="J12" s="12">
        <v>6</v>
      </c>
      <c r="K12" s="5">
        <v>0</v>
      </c>
      <c r="L12" s="2">
        <v>168</v>
      </c>
      <c r="M12" s="13">
        <f t="shared" ref="M12" si="7">0.008*E12*POWER($J12, 1.3333)</f>
        <v>34.886631705063309</v>
      </c>
      <c r="N12" s="13">
        <f t="shared" ref="N12" si="8">0.008*F12*POWER($J12, 1.3333)</f>
        <v>52.329947557594963</v>
      </c>
      <c r="O12" s="14">
        <f t="shared" ref="O12" si="9">H12+(L12*N12*0.02)</f>
        <v>507.42862379351914</v>
      </c>
      <c r="P12" s="13">
        <v>8</v>
      </c>
      <c r="Q12" s="13">
        <v>3</v>
      </c>
      <c r="R12" t="s">
        <v>8</v>
      </c>
      <c r="S12" t="s">
        <v>10</v>
      </c>
      <c r="T12" t="s">
        <v>4</v>
      </c>
      <c r="U12" t="s">
        <v>4</v>
      </c>
      <c r="V12" t="s">
        <v>3</v>
      </c>
      <c r="W12">
        <v>0</v>
      </c>
      <c r="Y12">
        <v>1953</v>
      </c>
      <c r="Z12">
        <v>0.28000000000000003</v>
      </c>
      <c r="AA12" s="20">
        <v>39934</v>
      </c>
      <c r="AB12" s="21">
        <v>0.4929</v>
      </c>
      <c r="AC12" s="21" t="s">
        <v>9</v>
      </c>
      <c r="AE12" s="11" t="e">
        <f>O12*#REF!</f>
        <v>#REF!</v>
      </c>
      <c r="AF12" t="e">
        <f>IF(#REF! = "DOT",#REF!, 0) + IF(#REF! = "USCG",#REF!, 0)</f>
        <v>#REF!</v>
      </c>
      <c r="AG12" t="e">
        <f>IF(#REF! = "Yes",#REF!, 0) + IF(#REF! = "Yes",#REF!, 0)</f>
        <v>#REF!</v>
      </c>
      <c r="AH12" t="e">
        <f>P12*#REF!</f>
        <v>#REF!</v>
      </c>
      <c r="AI12" t="e">
        <f>Q12*#REF!</f>
        <v>#REF!</v>
      </c>
      <c r="AJ12" t="e">
        <f>IF(R12 = "Butane",#REF!, 0) + IF(R12 = "Avjet",#REF!, 0) + IF(R12 = "Avgas",#REF!, 0)</f>
        <v>#REF!</v>
      </c>
      <c r="AK12" t="e">
        <f>IF(T12 = "Yes",#REF!, 0 )  +  IF(U12 = "Yes",#REF!, 0 )</f>
        <v>#REF!</v>
      </c>
      <c r="AM12" t="e">
        <f>P12*#REF!</f>
        <v>#REF!</v>
      </c>
      <c r="AN12" t="e">
        <f>#REF!</f>
        <v>#REF!</v>
      </c>
      <c r="AP12" t="e">
        <f>W12*#REF!</f>
        <v>#REF!</v>
      </c>
      <c r="AQ12">
        <f>IF(X12 = "Hi Temp",#REF!, 0)</f>
        <v>0</v>
      </c>
      <c r="AR12" t="e">
        <f>(2013 - Y12)*#REF!</f>
        <v>#REF!</v>
      </c>
      <c r="AS12" s="11" t="e">
        <f>#REF! / 'RISK (2 old)'!Z12</f>
        <v>#REF!</v>
      </c>
      <c r="AT12" t="e">
        <f>(DATE(2013,6,1) - AA12) *#REF!</f>
        <v>#REF!</v>
      </c>
      <c r="AU12" t="e">
        <f>AB12*#REF!</f>
        <v>#REF!</v>
      </c>
      <c r="AV12" t="e">
        <f>#REF!</f>
        <v>#REF!</v>
      </c>
      <c r="AW12" t="e">
        <f xml:space="preserve"> IF(AC12 = "", 1,#REF!)</f>
        <v>#REF!</v>
      </c>
      <c r="AX12">
        <v>1</v>
      </c>
      <c r="AZ12" s="48" t="e">
        <f t="shared" ref="AZ12" si="10">AE12*SUM(AF12:AK12) / 1000</f>
        <v>#REF!</v>
      </c>
      <c r="BA12" s="48" t="e">
        <f t="shared" ref="BA12" si="11">(AM12+SUM(AO12:AV12)) *AN12*AX12*AW12</f>
        <v>#REF!</v>
      </c>
      <c r="BB12" s="48" t="e">
        <f t="shared" ref="BB12" si="12">AZ12*BA12/100</f>
        <v>#REF!</v>
      </c>
    </row>
    <row r="13" spans="2:54" x14ac:dyDescent="0.2">
      <c r="B13" s="9" t="s">
        <v>11</v>
      </c>
      <c r="C13" s="2">
        <v>0</v>
      </c>
      <c r="D13" s="2">
        <v>0</v>
      </c>
      <c r="E13" s="12">
        <v>2000</v>
      </c>
      <c r="F13" s="5">
        <v>3000</v>
      </c>
      <c r="G13" s="12">
        <v>10</v>
      </c>
      <c r="H13" s="13">
        <v>1894</v>
      </c>
      <c r="I13" s="2"/>
      <c r="J13" s="12">
        <v>10</v>
      </c>
      <c r="K13" s="5">
        <v>2</v>
      </c>
      <c r="L13" s="2">
        <v>24</v>
      </c>
      <c r="M13" s="13">
        <f t="shared" ref="M13:N67" si="13">0.0008*E13*POWER($J13, 1.3333)</f>
        <v>34.468309398467795</v>
      </c>
      <c r="N13" s="13">
        <f t="shared" si="13"/>
        <v>51.702464097701693</v>
      </c>
      <c r="O13" s="14">
        <f t="shared" si="0"/>
        <v>1918.8171827668968</v>
      </c>
      <c r="P13" s="13">
        <v>3</v>
      </c>
      <c r="Q13" s="13"/>
      <c r="R13" t="s">
        <v>12</v>
      </c>
      <c r="S13" t="s">
        <v>7</v>
      </c>
      <c r="T13" t="s">
        <v>4</v>
      </c>
      <c r="U13" t="s">
        <v>4</v>
      </c>
      <c r="W13">
        <v>2</v>
      </c>
      <c r="Y13">
        <v>1980</v>
      </c>
      <c r="Z13">
        <v>0.36499999999999999</v>
      </c>
      <c r="AA13" s="20">
        <v>40576</v>
      </c>
      <c r="AB13" s="21">
        <v>0.71789999999999998</v>
      </c>
      <c r="AC13" s="21"/>
      <c r="AE13" s="11" t="e">
        <f>O13*#REF!</f>
        <v>#REF!</v>
      </c>
      <c r="AF13" t="e">
        <f>IF(#REF! = "DOT",#REF!, 0) + IF(#REF! = "USCG",#REF!, 0)</f>
        <v>#REF!</v>
      </c>
      <c r="AG13" t="e">
        <f>IF(#REF! = "Yes",#REF!, 0) + IF(#REF! = "Yes",#REF!, 0)</f>
        <v>#REF!</v>
      </c>
      <c r="AH13" t="e">
        <f>P13*#REF!</f>
        <v>#REF!</v>
      </c>
      <c r="AI13" t="e">
        <f>Q13*#REF!</f>
        <v>#REF!</v>
      </c>
      <c r="AJ13">
        <f>IF(R13 = "Butane",#REF!, 0) + IF(R13 = "Avjet",#REF!, 0) + IF(R13 = "Avgas",#REF!, 0)</f>
        <v>0</v>
      </c>
      <c r="AK13" t="e">
        <f>IF(T13 = "Yes",#REF!, 0 )  +  IF(U13 = "Yes",#REF!, 0 )</f>
        <v>#REF!</v>
      </c>
      <c r="AM13" t="e">
        <f>P13*#REF!</f>
        <v>#REF!</v>
      </c>
      <c r="AN13">
        <v>1</v>
      </c>
      <c r="AP13" t="e">
        <f>W13*#REF!</f>
        <v>#REF!</v>
      </c>
      <c r="AQ13">
        <f>IF(X13 = "Hi Temp",#REF!, 0)</f>
        <v>0</v>
      </c>
      <c r="AR13" t="e">
        <f>(2013 - Y13)*#REF!</f>
        <v>#REF!</v>
      </c>
      <c r="AS13" s="11" t="e">
        <f>#REF! / 'RISK (2 old)'!Z13</f>
        <v>#REF!</v>
      </c>
      <c r="AT13" t="e">
        <f>(DATE(2013,6,1) - AA13) *#REF!</f>
        <v>#REF!</v>
      </c>
      <c r="AU13" t="e">
        <f>AB13*#REF!</f>
        <v>#REF!</v>
      </c>
      <c r="AW13">
        <f xml:space="preserve"> IF(AC13 = "", 1,#REF!)</f>
        <v>1</v>
      </c>
      <c r="AX13" t="e">
        <f>#REF!</f>
        <v>#REF!</v>
      </c>
      <c r="AZ13" s="48" t="e">
        <f t="shared" si="1"/>
        <v>#REF!</v>
      </c>
      <c r="BA13" s="48" t="e">
        <f t="shared" si="2"/>
        <v>#REF!</v>
      </c>
      <c r="BB13" s="48" t="e">
        <f t="shared" si="3"/>
        <v>#REF!</v>
      </c>
    </row>
    <row r="14" spans="2:54" x14ac:dyDescent="0.2">
      <c r="B14" s="9" t="s">
        <v>14</v>
      </c>
      <c r="C14" s="2">
        <v>0</v>
      </c>
      <c r="D14" s="2">
        <v>0</v>
      </c>
      <c r="E14" s="12">
        <v>2000</v>
      </c>
      <c r="F14" s="5">
        <v>4000</v>
      </c>
      <c r="G14" s="12">
        <v>10</v>
      </c>
      <c r="H14" s="13">
        <v>1771</v>
      </c>
      <c r="I14" s="2"/>
      <c r="J14" s="12">
        <v>10</v>
      </c>
      <c r="K14" s="5">
        <v>2</v>
      </c>
      <c r="L14" s="2">
        <v>24</v>
      </c>
      <c r="M14" s="13">
        <f t="shared" si="13"/>
        <v>34.468309398467795</v>
      </c>
      <c r="N14" s="13">
        <f t="shared" si="13"/>
        <v>68.936618796935591</v>
      </c>
      <c r="O14" s="14">
        <f t="shared" si="0"/>
        <v>1804.0895770225291</v>
      </c>
      <c r="P14" s="13">
        <v>3</v>
      </c>
      <c r="Q14" s="13"/>
      <c r="R14" t="s">
        <v>15</v>
      </c>
      <c r="S14" t="s">
        <v>7</v>
      </c>
      <c r="T14" t="s">
        <v>4</v>
      </c>
      <c r="W14">
        <v>0</v>
      </c>
      <c r="Y14">
        <v>1980</v>
      </c>
      <c r="Z14">
        <v>0.36499999999999999</v>
      </c>
      <c r="AA14" s="20">
        <v>41050</v>
      </c>
      <c r="AB14" s="21">
        <v>0.15340000000000001</v>
      </c>
      <c r="AC14" s="21"/>
      <c r="AE14" s="11" t="e">
        <f>O14*#REF!</f>
        <v>#REF!</v>
      </c>
      <c r="AF14" t="e">
        <f>IF(#REF! = "DOT",#REF!, 0) + IF(#REF! = "USCG",#REF!, 0)</f>
        <v>#REF!</v>
      </c>
      <c r="AG14" t="e">
        <f>IF(#REF! = "Yes",#REF!, 0) + IF(#REF! = "Yes",#REF!, 0)</f>
        <v>#REF!</v>
      </c>
      <c r="AH14" t="e">
        <f>P14*#REF!</f>
        <v>#REF!</v>
      </c>
      <c r="AI14" t="e">
        <f>Q14*#REF!</f>
        <v>#REF!</v>
      </c>
      <c r="AJ14">
        <f>IF(R14 = "Butane",#REF!, 0) + IF(R14 = "Avjet",#REF!, 0) + IF(R14 = "Avgas",#REF!, 0)</f>
        <v>0</v>
      </c>
      <c r="AK14" t="e">
        <f>IF(T14 = "Yes",#REF!, 0 )  +  IF(U14 = "Yes",#REF!, 0 )</f>
        <v>#REF!</v>
      </c>
      <c r="AM14" t="e">
        <f>P14*#REF!</f>
        <v>#REF!</v>
      </c>
      <c r="AN14">
        <v>1</v>
      </c>
      <c r="AP14" t="e">
        <f>W14*#REF!</f>
        <v>#REF!</v>
      </c>
      <c r="AQ14">
        <f>IF(X14 = "Hi Temp",#REF!, 0)</f>
        <v>0</v>
      </c>
      <c r="AR14" t="e">
        <f>(2013 - Y14)*#REF!</f>
        <v>#REF!</v>
      </c>
      <c r="AS14" s="11" t="e">
        <f>#REF! / 'RISK (2 old)'!Z14</f>
        <v>#REF!</v>
      </c>
      <c r="AT14" t="e">
        <f>(DATE(2013,6,1) - AA14) *#REF!</f>
        <v>#REF!</v>
      </c>
      <c r="AU14" t="e">
        <f>AB14*#REF!</f>
        <v>#REF!</v>
      </c>
      <c r="AW14">
        <f xml:space="preserve"> IF(AC14 = "", 1,#REF!)</f>
        <v>1</v>
      </c>
      <c r="AX14" t="e">
        <f>#REF!</f>
        <v>#REF!</v>
      </c>
      <c r="AZ14" s="48" t="e">
        <f t="shared" si="1"/>
        <v>#REF!</v>
      </c>
      <c r="BA14" s="48" t="e">
        <f t="shared" si="2"/>
        <v>#REF!</v>
      </c>
      <c r="BB14" s="48" t="e">
        <f t="shared" si="3"/>
        <v>#REF!</v>
      </c>
    </row>
    <row r="15" spans="2:54" x14ac:dyDescent="0.2">
      <c r="B15" s="9" t="s">
        <v>16</v>
      </c>
      <c r="C15" s="2">
        <v>0</v>
      </c>
      <c r="D15" s="2">
        <v>0</v>
      </c>
      <c r="E15" s="12">
        <v>2000</v>
      </c>
      <c r="F15" s="5">
        <v>3000</v>
      </c>
      <c r="G15" s="12">
        <v>16</v>
      </c>
      <c r="H15" s="13">
        <v>1710</v>
      </c>
      <c r="I15" s="2"/>
      <c r="J15" s="12">
        <v>16</v>
      </c>
      <c r="K15" s="5">
        <v>2</v>
      </c>
      <c r="L15" s="2">
        <v>24</v>
      </c>
      <c r="M15" s="13">
        <f t="shared" si="13"/>
        <v>64.501996228897212</v>
      </c>
      <c r="N15" s="13">
        <f t="shared" si="13"/>
        <v>96.752994343345819</v>
      </c>
      <c r="O15" s="14">
        <f t="shared" si="0"/>
        <v>1756.4414372848059</v>
      </c>
      <c r="P15" s="13">
        <v>2</v>
      </c>
      <c r="Q15" s="13"/>
      <c r="R15" t="s">
        <v>17</v>
      </c>
      <c r="S15" t="s">
        <v>7</v>
      </c>
      <c r="T15" t="s">
        <v>4</v>
      </c>
      <c r="W15">
        <v>2</v>
      </c>
      <c r="X15" t="s">
        <v>18</v>
      </c>
      <c r="Y15">
        <v>1940</v>
      </c>
      <c r="Z15">
        <v>0.26</v>
      </c>
      <c r="AA15" s="20">
        <v>41149</v>
      </c>
      <c r="AB15" s="21">
        <v>0.32050000000000001</v>
      </c>
      <c r="AC15" s="21"/>
      <c r="AE15" s="11" t="e">
        <f>O15*#REF!</f>
        <v>#REF!</v>
      </c>
      <c r="AF15" t="e">
        <f>IF(#REF! = "DOT",#REF!, 0) + IF(#REF! = "USCG",#REF!, 0)</f>
        <v>#REF!</v>
      </c>
      <c r="AG15" t="e">
        <f>IF(#REF! = "Yes",#REF!, 0) + IF(#REF! = "Yes",#REF!, 0)</f>
        <v>#REF!</v>
      </c>
      <c r="AH15" t="e">
        <f>P15*#REF!</f>
        <v>#REF!</v>
      </c>
      <c r="AI15" t="e">
        <f>Q15*#REF!</f>
        <v>#REF!</v>
      </c>
      <c r="AJ15">
        <f>IF(R15 = "Butane",#REF!, 0) + IF(R15 = "Avjet",#REF!, 0) + IF(R15 = "Avgas",#REF!, 0)</f>
        <v>0</v>
      </c>
      <c r="AK15" t="e">
        <f>IF(T15 = "Yes",#REF!, 0 )  +  IF(U15 = "Yes",#REF!, 0 )</f>
        <v>#REF!</v>
      </c>
      <c r="AM15" t="e">
        <f>P15*#REF!</f>
        <v>#REF!</v>
      </c>
      <c r="AN15">
        <v>1</v>
      </c>
      <c r="AP15" t="e">
        <f>W15*#REF!</f>
        <v>#REF!</v>
      </c>
      <c r="AQ15" t="e">
        <f>IF(X15 = "Hi Temp",#REF!, 0)</f>
        <v>#REF!</v>
      </c>
      <c r="AR15" t="e">
        <f>(2013 - Y15)*#REF!</f>
        <v>#REF!</v>
      </c>
      <c r="AS15" s="11" t="e">
        <f>#REF! / 'RISK (2 old)'!Z15</f>
        <v>#REF!</v>
      </c>
      <c r="AT15" t="e">
        <f>(DATE(2013,6,1) - AA15) *#REF!</f>
        <v>#REF!</v>
      </c>
      <c r="AU15" t="e">
        <f>AB15*#REF!</f>
        <v>#REF!</v>
      </c>
      <c r="AW15">
        <f xml:space="preserve"> IF(AC15 = "", 1,#REF!)</f>
        <v>1</v>
      </c>
      <c r="AX15">
        <v>1</v>
      </c>
      <c r="AZ15" s="48" t="e">
        <f t="shared" si="1"/>
        <v>#REF!</v>
      </c>
      <c r="BA15" s="48" t="e">
        <f t="shared" si="2"/>
        <v>#REF!</v>
      </c>
      <c r="BB15" s="48" t="e">
        <f t="shared" si="3"/>
        <v>#REF!</v>
      </c>
    </row>
    <row r="16" spans="2:54" x14ac:dyDescent="0.2">
      <c r="B16" s="9" t="s">
        <v>19</v>
      </c>
      <c r="C16" s="2">
        <v>0</v>
      </c>
      <c r="D16" s="2">
        <v>0</v>
      </c>
      <c r="E16" s="12">
        <v>1000</v>
      </c>
      <c r="F16" s="5">
        <v>2500</v>
      </c>
      <c r="G16" s="12">
        <v>12</v>
      </c>
      <c r="H16" s="13">
        <v>1936</v>
      </c>
      <c r="I16" s="2"/>
      <c r="J16" s="12">
        <v>12</v>
      </c>
      <c r="K16" s="5">
        <v>2</v>
      </c>
      <c r="L16" s="2">
        <v>24</v>
      </c>
      <c r="M16" s="13">
        <f t="shared" si="13"/>
        <v>21.97669304727609</v>
      </c>
      <c r="N16" s="13">
        <f t="shared" si="13"/>
        <v>54.941732618190223</v>
      </c>
      <c r="O16" s="14">
        <f t="shared" si="0"/>
        <v>1962.3720316567312</v>
      </c>
      <c r="P16" s="13">
        <v>3</v>
      </c>
      <c r="Q16" s="13"/>
      <c r="R16" t="s">
        <v>2</v>
      </c>
      <c r="S16" t="s">
        <v>6</v>
      </c>
      <c r="T16" t="s">
        <v>4</v>
      </c>
      <c r="W16" s="56">
        <v>0</v>
      </c>
      <c r="Y16">
        <v>1930</v>
      </c>
      <c r="Z16">
        <v>0.375</v>
      </c>
      <c r="AA16" s="20">
        <v>41075</v>
      </c>
      <c r="AB16" s="21">
        <v>0.17710000000000001</v>
      </c>
      <c r="AC16" s="21"/>
      <c r="AE16" s="11" t="e">
        <f>O16*#REF!</f>
        <v>#REF!</v>
      </c>
      <c r="AF16" t="e">
        <f>IF(#REF! = "DOT",#REF!, 0) + IF(#REF! = "USCG",#REF!, 0)</f>
        <v>#REF!</v>
      </c>
      <c r="AG16" t="e">
        <f>IF(#REF! = "Yes",#REF!, 0) + IF(#REF! = "Yes",#REF!, 0)</f>
        <v>#REF!</v>
      </c>
      <c r="AH16" t="e">
        <f>P16*#REF!</f>
        <v>#REF!</v>
      </c>
      <c r="AI16" t="e">
        <f>Q16*#REF!</f>
        <v>#REF!</v>
      </c>
      <c r="AJ16">
        <f>IF(R16 = "Butane",#REF!, 0) + IF(R16 = "Avjet",#REF!, 0) + IF(R16 = "Avgas",#REF!, 0)</f>
        <v>0</v>
      </c>
      <c r="AK16" t="e">
        <f>IF(T16 = "Yes",#REF!, 0 )  +  IF(U16 = "Yes",#REF!, 0 )</f>
        <v>#REF!</v>
      </c>
      <c r="AM16" t="e">
        <f>P16*#REF!</f>
        <v>#REF!</v>
      </c>
      <c r="AN16">
        <v>1</v>
      </c>
      <c r="AP16" t="e">
        <f>W16*#REF!</f>
        <v>#REF!</v>
      </c>
      <c r="AQ16">
        <f>IF(X16 = "Hi Temp",#REF!, 0)</f>
        <v>0</v>
      </c>
      <c r="AR16" t="e">
        <f>(2013 - Y16)*#REF!</f>
        <v>#REF!</v>
      </c>
      <c r="AS16" s="11" t="e">
        <f>#REF! / 'RISK (2 old)'!Z16</f>
        <v>#REF!</v>
      </c>
      <c r="AT16" t="e">
        <f>(DATE(2013,6,1) - AA16) *#REF!</f>
        <v>#REF!</v>
      </c>
      <c r="AU16" t="e">
        <f>AB16*#REF!</f>
        <v>#REF!</v>
      </c>
      <c r="AW16">
        <f xml:space="preserve"> IF(AC16 = "", 1,#REF!)</f>
        <v>1</v>
      </c>
      <c r="AX16">
        <v>1</v>
      </c>
      <c r="AZ16" s="48" t="e">
        <f t="shared" si="1"/>
        <v>#REF!</v>
      </c>
      <c r="BA16" s="48" t="e">
        <f t="shared" si="2"/>
        <v>#REF!</v>
      </c>
      <c r="BB16" s="48" t="e">
        <f t="shared" si="3"/>
        <v>#REF!</v>
      </c>
    </row>
    <row r="17" spans="1:54" s="34" customFormat="1" x14ac:dyDescent="0.2">
      <c r="A17" s="47"/>
      <c r="B17" s="29" t="s">
        <v>20</v>
      </c>
      <c r="C17" s="30">
        <v>0</v>
      </c>
      <c r="D17" s="30">
        <v>0</v>
      </c>
      <c r="E17" s="31"/>
      <c r="F17" s="32"/>
      <c r="G17" s="31"/>
      <c r="H17" s="33"/>
      <c r="I17" s="30"/>
      <c r="J17" s="31"/>
      <c r="K17" s="32"/>
      <c r="L17" s="30"/>
      <c r="M17" s="33"/>
      <c r="N17" s="33"/>
      <c r="O17" s="33"/>
      <c r="P17" s="33"/>
      <c r="Q17" s="33"/>
      <c r="AA17" s="35"/>
      <c r="AB17" s="36"/>
      <c r="AC17" s="36"/>
      <c r="AE17" s="37"/>
      <c r="AZ17" s="48"/>
      <c r="BA17" s="48"/>
    </row>
    <row r="18" spans="1:54" x14ac:dyDescent="0.2">
      <c r="B18" s="9" t="s">
        <v>21</v>
      </c>
      <c r="C18" s="2">
        <v>0</v>
      </c>
      <c r="D18" s="2">
        <v>0</v>
      </c>
      <c r="E18" s="12">
        <v>2000</v>
      </c>
      <c r="F18" s="5">
        <v>4000</v>
      </c>
      <c r="G18" s="12">
        <v>6</v>
      </c>
      <c r="H18" s="13">
        <f>H7</f>
        <v>331.6</v>
      </c>
      <c r="I18" s="2"/>
      <c r="J18" s="12">
        <v>14</v>
      </c>
      <c r="K18" s="5">
        <v>2</v>
      </c>
      <c r="L18" s="2">
        <v>24</v>
      </c>
      <c r="M18" s="13">
        <f t="shared" si="13"/>
        <v>53.982437750381052</v>
      </c>
      <c r="N18" s="13">
        <f t="shared" si="13"/>
        <v>107.9648755007621</v>
      </c>
      <c r="O18" s="14">
        <f t="shared" si="0"/>
        <v>383.42314024036585</v>
      </c>
      <c r="P18" s="13">
        <v>1</v>
      </c>
      <c r="Q18" s="13"/>
      <c r="R18" t="s">
        <v>17</v>
      </c>
      <c r="S18" t="s">
        <v>7</v>
      </c>
      <c r="T18" t="s">
        <v>4</v>
      </c>
      <c r="W18">
        <v>0</v>
      </c>
      <c r="X18" t="s">
        <v>18</v>
      </c>
      <c r="Y18">
        <v>1981</v>
      </c>
      <c r="Z18">
        <v>0.33700000000000002</v>
      </c>
      <c r="AA18" s="20">
        <v>40849</v>
      </c>
      <c r="AB18" s="21">
        <v>0.21640000000000001</v>
      </c>
      <c r="AC18" s="21"/>
      <c r="AE18" s="11" t="e">
        <f>O18*#REF!</f>
        <v>#REF!</v>
      </c>
      <c r="AF18" t="e">
        <f>IF(#REF! = "DOT",#REF!, 0) + IF(#REF! = "USCG",#REF!, 0)</f>
        <v>#REF!</v>
      </c>
      <c r="AG18" t="e">
        <f>IF(#REF! = "Yes",#REF!, 0) + IF(#REF! = "Yes",#REF!, 0)</f>
        <v>#REF!</v>
      </c>
      <c r="AH18" t="e">
        <f>P18*#REF!</f>
        <v>#REF!</v>
      </c>
      <c r="AI18" t="e">
        <f>Q18*#REF!</f>
        <v>#REF!</v>
      </c>
      <c r="AJ18">
        <f>IF(R18 = "Butane",#REF!, 0) + IF(R18 = "Avjet",#REF!, 0) + IF(R18 = "Avgas",#REF!, 0)</f>
        <v>0</v>
      </c>
      <c r="AK18" t="e">
        <f>IF(T18 = "Yes",#REF!, 0 )  +  IF(U18 = "Yes",#REF!, 0 )</f>
        <v>#REF!</v>
      </c>
      <c r="AM18" t="e">
        <f>P18*#REF!</f>
        <v>#REF!</v>
      </c>
      <c r="AN18">
        <v>1</v>
      </c>
      <c r="AP18" t="e">
        <f>W18*#REF!</f>
        <v>#REF!</v>
      </c>
      <c r="AQ18" t="e">
        <f>IF(X18 = "Hi Temp",#REF!, 0)</f>
        <v>#REF!</v>
      </c>
      <c r="AR18" t="e">
        <f>(2013 - Y18)*#REF!</f>
        <v>#REF!</v>
      </c>
      <c r="AS18" s="11" t="e">
        <f>#REF! / 'RISK (2 old)'!Z18</f>
        <v>#REF!</v>
      </c>
      <c r="AT18" t="e">
        <f>(DATE(2013,6,1) - AA18) *#REF!</f>
        <v>#REF!</v>
      </c>
      <c r="AU18" t="e">
        <f>AB18*#REF!</f>
        <v>#REF!</v>
      </c>
      <c r="AW18">
        <f xml:space="preserve"> IF(AC18 = "", 1,#REF!)</f>
        <v>1</v>
      </c>
      <c r="AX18" t="e">
        <f>#REF!</f>
        <v>#REF!</v>
      </c>
      <c r="AZ18" s="48" t="e">
        <f t="shared" si="1"/>
        <v>#REF!</v>
      </c>
      <c r="BA18" s="48" t="e">
        <f t="shared" si="2"/>
        <v>#REF!</v>
      </c>
      <c r="BB18" s="48" t="e">
        <f t="shared" si="3"/>
        <v>#REF!</v>
      </c>
    </row>
    <row r="19" spans="1:54" s="43" customFormat="1" x14ac:dyDescent="0.2">
      <c r="A19" s="47"/>
      <c r="B19" s="38" t="s">
        <v>22</v>
      </c>
      <c r="C19" s="39">
        <v>0</v>
      </c>
      <c r="D19" s="39">
        <v>0</v>
      </c>
      <c r="E19" s="40" t="s">
        <v>24</v>
      </c>
      <c r="F19" s="41"/>
      <c r="G19" s="40">
        <v>14</v>
      </c>
      <c r="H19" s="42">
        <v>2349</v>
      </c>
      <c r="I19" s="39"/>
      <c r="J19" s="40">
        <v>14</v>
      </c>
      <c r="K19" s="41">
        <v>2</v>
      </c>
      <c r="L19" s="39">
        <v>24</v>
      </c>
      <c r="M19" s="42">
        <v>0</v>
      </c>
      <c r="N19" s="42">
        <f t="shared" si="13"/>
        <v>0</v>
      </c>
      <c r="O19" s="42"/>
      <c r="P19" s="42">
        <v>3</v>
      </c>
      <c r="Q19" s="42"/>
      <c r="R19" s="43" t="s">
        <v>23</v>
      </c>
      <c r="S19" s="43" t="s">
        <v>7</v>
      </c>
      <c r="T19" s="43" t="s">
        <v>4</v>
      </c>
      <c r="W19" s="43">
        <v>4</v>
      </c>
      <c r="Y19" s="43">
        <v>1930</v>
      </c>
      <c r="Z19" s="43">
        <v>0.30599999999999999</v>
      </c>
      <c r="AA19" s="44">
        <v>40909</v>
      </c>
      <c r="AB19" s="45">
        <v>0.19439999999999999</v>
      </c>
      <c r="AC19" s="45"/>
      <c r="AE19" s="46" t="e">
        <f>O19*#REF!</f>
        <v>#REF!</v>
      </c>
      <c r="AF19" s="43" t="e">
        <f>IF(#REF! = "DOT",#REF!, 0) + IF(#REF! = "USCG",#REF!, 0)</f>
        <v>#REF!</v>
      </c>
      <c r="AG19" s="43" t="e">
        <f>IF(#REF! = "Yes",#REF!, 0) + IF(#REF! = "Yes",#REF!, 0)</f>
        <v>#REF!</v>
      </c>
      <c r="AH19" s="43" t="e">
        <f>P19*#REF!</f>
        <v>#REF!</v>
      </c>
      <c r="AJ19" s="43">
        <f>IF(R19 = "Butane",#REF!, 0) + IF(R19 = "Avjet",#REF!, 0) + IF(R19 = "Avgas",#REF!, 0)</f>
        <v>0</v>
      </c>
      <c r="AK19" s="43" t="e">
        <f>IF(T19 = "Yes",#REF!, 0 )  +  IF(U19 = "Yes",#REF!, 0 )</f>
        <v>#REF!</v>
      </c>
      <c r="AM19" s="43" t="e">
        <f>P19*#REF!</f>
        <v>#REF!</v>
      </c>
      <c r="AN19" s="43">
        <v>1</v>
      </c>
      <c r="AP19" s="43" t="e">
        <f>W19*#REF!</f>
        <v>#REF!</v>
      </c>
      <c r="AQ19" s="43">
        <f>IF(X19 = "Hi Temp",#REF!, 0)</f>
        <v>0</v>
      </c>
      <c r="AR19" s="43" t="e">
        <f>(2013 - Y19)*#REF!</f>
        <v>#REF!</v>
      </c>
      <c r="AS19" s="46" t="e">
        <f>#REF! / 'RISK (2 old)'!Z19</f>
        <v>#REF!</v>
      </c>
      <c r="AT19" s="43" t="e">
        <f>(DATE(2013,6,1) - AA19) *#REF!</f>
        <v>#REF!</v>
      </c>
      <c r="AU19" s="43" t="e">
        <f>AB19*#REF!</f>
        <v>#REF!</v>
      </c>
      <c r="AX19" s="43">
        <v>1</v>
      </c>
      <c r="AZ19" s="48" t="e">
        <f t="shared" si="1"/>
        <v>#REF!</v>
      </c>
      <c r="BA19" s="48"/>
    </row>
    <row r="20" spans="1:54" x14ac:dyDescent="0.2">
      <c r="B20" s="9" t="s">
        <v>25</v>
      </c>
      <c r="C20" s="2">
        <v>0</v>
      </c>
      <c r="D20" s="2">
        <v>0</v>
      </c>
      <c r="E20" s="12">
        <v>2000</v>
      </c>
      <c r="F20" s="5">
        <v>4000</v>
      </c>
      <c r="G20" s="12">
        <v>16</v>
      </c>
      <c r="H20" s="13">
        <v>2249</v>
      </c>
      <c r="I20" s="2"/>
      <c r="J20" s="12">
        <v>16</v>
      </c>
      <c r="K20" s="5">
        <v>2</v>
      </c>
      <c r="L20" s="2">
        <v>24</v>
      </c>
      <c r="M20" s="13">
        <f t="shared" si="13"/>
        <v>64.501996228897212</v>
      </c>
      <c r="N20" s="13">
        <f t="shared" si="13"/>
        <v>129.00399245779442</v>
      </c>
      <c r="O20" s="14">
        <f t="shared" si="0"/>
        <v>2310.9219163797411</v>
      </c>
      <c r="P20" s="13">
        <v>2</v>
      </c>
      <c r="Q20" s="13"/>
      <c r="R20" t="s">
        <v>17</v>
      </c>
      <c r="S20" t="s">
        <v>7</v>
      </c>
      <c r="T20" t="s">
        <v>4</v>
      </c>
      <c r="W20">
        <v>1</v>
      </c>
      <c r="X20" t="s">
        <v>18</v>
      </c>
      <c r="Y20">
        <v>1978</v>
      </c>
      <c r="Z20">
        <v>0.25</v>
      </c>
      <c r="AA20" s="20">
        <v>40917</v>
      </c>
      <c r="AB20" s="21">
        <v>0.16669999999999999</v>
      </c>
      <c r="AC20" s="21"/>
      <c r="AE20" s="11" t="e">
        <f>O20*#REF!</f>
        <v>#REF!</v>
      </c>
      <c r="AF20" t="e">
        <f>IF(#REF! = "DOT",#REF!, 0) + IF(#REF! = "USCG",#REF!, 0)</f>
        <v>#REF!</v>
      </c>
      <c r="AG20" t="e">
        <f>IF(#REF! = "Yes",#REF!, 0) + IF(#REF! = "Yes",#REF!, 0)</f>
        <v>#REF!</v>
      </c>
      <c r="AH20" t="e">
        <f>P20*#REF!</f>
        <v>#REF!</v>
      </c>
      <c r="AI20" t="e">
        <f>Q20*#REF!</f>
        <v>#REF!</v>
      </c>
      <c r="AJ20">
        <f>IF(R20 = "Butane",#REF!, 0) + IF(R20 = "Avjet",#REF!, 0) + IF(R20 = "Avgas",#REF!, 0)</f>
        <v>0</v>
      </c>
      <c r="AK20" t="e">
        <f>IF(T20 = "Yes",#REF!, 0 )  +  IF(U20 = "Yes",#REF!, 0 )</f>
        <v>#REF!</v>
      </c>
      <c r="AM20" t="e">
        <f>P20*#REF!</f>
        <v>#REF!</v>
      </c>
      <c r="AN20">
        <v>1</v>
      </c>
      <c r="AP20" t="e">
        <f>W20*#REF!</f>
        <v>#REF!</v>
      </c>
      <c r="AQ20" t="e">
        <f>IF(X20 = "Hi Temp",#REF!, 0)</f>
        <v>#REF!</v>
      </c>
      <c r="AR20" t="e">
        <f>(2013 - Y20)*#REF!</f>
        <v>#REF!</v>
      </c>
      <c r="AS20" s="11" t="e">
        <f>#REF! / 'RISK (2 old)'!Z20</f>
        <v>#REF!</v>
      </c>
      <c r="AT20" t="e">
        <f>(DATE(2013,6,1) - AA20) *#REF!</f>
        <v>#REF!</v>
      </c>
      <c r="AU20" t="e">
        <f>AB20*#REF!</f>
        <v>#REF!</v>
      </c>
      <c r="AW20">
        <f xml:space="preserve"> IF(AC20 = "", 1,#REF!)</f>
        <v>1</v>
      </c>
      <c r="AX20">
        <v>1</v>
      </c>
      <c r="AZ20" s="48" t="e">
        <f t="shared" si="1"/>
        <v>#REF!</v>
      </c>
      <c r="BA20" s="48" t="e">
        <f t="shared" si="2"/>
        <v>#REF!</v>
      </c>
      <c r="BB20" s="48" t="e">
        <f t="shared" si="3"/>
        <v>#REF!</v>
      </c>
    </row>
    <row r="21" spans="1:54" x14ac:dyDescent="0.2">
      <c r="B21" s="9" t="s">
        <v>26</v>
      </c>
      <c r="C21" s="2">
        <v>0</v>
      </c>
      <c r="D21" s="2">
        <v>0</v>
      </c>
      <c r="E21" s="12">
        <v>2000</v>
      </c>
      <c r="F21" s="5">
        <v>3000</v>
      </c>
      <c r="G21" s="12">
        <v>10</v>
      </c>
      <c r="H21" s="13">
        <v>1419</v>
      </c>
      <c r="I21" s="2"/>
      <c r="J21" s="12">
        <v>10</v>
      </c>
      <c r="K21" s="5">
        <v>2</v>
      </c>
      <c r="L21" s="2">
        <v>24</v>
      </c>
      <c r="M21" s="13">
        <f t="shared" si="13"/>
        <v>34.468309398467795</v>
      </c>
      <c r="N21" s="13">
        <f t="shared" si="13"/>
        <v>51.702464097701693</v>
      </c>
      <c r="O21" s="14">
        <f t="shared" si="0"/>
        <v>1443.8171827668968</v>
      </c>
      <c r="P21" s="13">
        <v>2</v>
      </c>
      <c r="Q21" s="13"/>
      <c r="R21" t="s">
        <v>27</v>
      </c>
      <c r="S21" t="s">
        <v>7</v>
      </c>
      <c r="T21" t="s">
        <v>4</v>
      </c>
      <c r="W21" s="56">
        <v>0</v>
      </c>
      <c r="Y21">
        <v>1930</v>
      </c>
      <c r="Z21">
        <v>0.36499999999999999</v>
      </c>
      <c r="AA21" s="20">
        <v>41036</v>
      </c>
      <c r="AB21" s="21">
        <v>0.15340000000000001</v>
      </c>
      <c r="AC21" s="21"/>
      <c r="AE21" s="11" t="e">
        <f>O21*#REF!</f>
        <v>#REF!</v>
      </c>
      <c r="AF21" t="e">
        <f>IF(#REF! = "DOT",#REF!, 0) + IF(#REF! = "USCG",#REF!, 0)</f>
        <v>#REF!</v>
      </c>
      <c r="AG21" t="e">
        <f>IF(#REF! = "Yes",#REF!, 0) + IF(#REF! = "Yes",#REF!, 0)</f>
        <v>#REF!</v>
      </c>
      <c r="AH21" t="e">
        <f>P21*#REF!</f>
        <v>#REF!</v>
      </c>
      <c r="AI21" t="e">
        <f>Q21*#REF!</f>
        <v>#REF!</v>
      </c>
      <c r="AJ21" t="e">
        <f>IF(R21 = "Butane",#REF!, 0) + IF(R21 = "Avjet",#REF!, 0) + IF(R21 = "Avgas",#REF!, 0)</f>
        <v>#REF!</v>
      </c>
      <c r="AK21" t="e">
        <f>IF(T21 = "Yes",#REF!, 0 )  +  IF(U21 = "Yes",#REF!, 0 )</f>
        <v>#REF!</v>
      </c>
      <c r="AM21" t="e">
        <f>P21*#REF!</f>
        <v>#REF!</v>
      </c>
      <c r="AN21">
        <v>1</v>
      </c>
      <c r="AP21" t="e">
        <f>W21*#REF!</f>
        <v>#REF!</v>
      </c>
      <c r="AQ21">
        <f>IF(X21 = "Hi Temp",#REF!, 0)</f>
        <v>0</v>
      </c>
      <c r="AR21" t="e">
        <f>(2013 - Y21)*#REF!</f>
        <v>#REF!</v>
      </c>
      <c r="AS21" s="11" t="e">
        <f>#REF! / 'RISK (2 old)'!Z21</f>
        <v>#REF!</v>
      </c>
      <c r="AT21" t="e">
        <f>(DATE(2013,6,1) - AA21) *#REF!</f>
        <v>#REF!</v>
      </c>
      <c r="AU21" t="e">
        <f>AB21*#REF!</f>
        <v>#REF!</v>
      </c>
      <c r="AW21">
        <f xml:space="preserve"> IF(AC21 = "", 1,#REF!)</f>
        <v>1</v>
      </c>
      <c r="AX21">
        <v>1</v>
      </c>
      <c r="AZ21" s="48" t="e">
        <f t="shared" si="1"/>
        <v>#REF!</v>
      </c>
      <c r="BA21" s="48" t="e">
        <f t="shared" si="2"/>
        <v>#REF!</v>
      </c>
      <c r="BB21" s="48" t="e">
        <f t="shared" si="3"/>
        <v>#REF!</v>
      </c>
    </row>
    <row r="22" spans="1:54" x14ac:dyDescent="0.2">
      <c r="B22" s="9" t="s">
        <v>28</v>
      </c>
      <c r="C22" s="2">
        <v>0</v>
      </c>
      <c r="D22" s="2">
        <v>0</v>
      </c>
      <c r="E22" s="12">
        <v>1000</v>
      </c>
      <c r="F22" s="5">
        <v>1500</v>
      </c>
      <c r="G22" s="12">
        <v>12</v>
      </c>
      <c r="H22" s="13">
        <f>H16</f>
        <v>1936</v>
      </c>
      <c r="I22" s="2"/>
      <c r="J22" s="12">
        <v>12</v>
      </c>
      <c r="K22" s="5">
        <v>2</v>
      </c>
      <c r="L22" s="2">
        <v>24</v>
      </c>
      <c r="M22" s="13">
        <f t="shared" si="13"/>
        <v>21.97669304727609</v>
      </c>
      <c r="N22" s="13">
        <f t="shared" si="13"/>
        <v>32.965039570914129</v>
      </c>
      <c r="O22" s="14">
        <f t="shared" si="0"/>
        <v>1951.8232189940388</v>
      </c>
      <c r="P22" s="13">
        <v>2</v>
      </c>
      <c r="Q22" s="13"/>
      <c r="R22" t="s">
        <v>27</v>
      </c>
      <c r="S22" t="s">
        <v>6</v>
      </c>
      <c r="T22" t="s">
        <v>4</v>
      </c>
      <c r="W22" s="56">
        <v>0</v>
      </c>
      <c r="Y22">
        <v>1950</v>
      </c>
      <c r="Z22">
        <v>0.375</v>
      </c>
      <c r="AA22" s="20">
        <v>41036</v>
      </c>
      <c r="AB22" s="21">
        <v>0.17710000000000001</v>
      </c>
      <c r="AC22" s="21"/>
      <c r="AE22" s="11" t="e">
        <f>O22*#REF!</f>
        <v>#REF!</v>
      </c>
      <c r="AF22" t="e">
        <f>IF(#REF! = "DOT",#REF!, 0) + IF(#REF! = "USCG",#REF!, 0)</f>
        <v>#REF!</v>
      </c>
      <c r="AG22" t="e">
        <f>IF(#REF! = "Yes",#REF!, 0) + IF(#REF! = "Yes",#REF!, 0)</f>
        <v>#REF!</v>
      </c>
      <c r="AH22" t="e">
        <f>P22*#REF!</f>
        <v>#REF!</v>
      </c>
      <c r="AI22" t="e">
        <f>Q22*#REF!</f>
        <v>#REF!</v>
      </c>
      <c r="AJ22" t="e">
        <f>IF(R22 = "Butane",#REF!, 0) + IF(R22 = "Avjet",#REF!, 0) + IF(R22 = "Avgas",#REF!, 0)</f>
        <v>#REF!</v>
      </c>
      <c r="AK22" t="e">
        <f>IF(T22 = "Yes",#REF!, 0 )  +  IF(U22 = "Yes",#REF!, 0 )</f>
        <v>#REF!</v>
      </c>
      <c r="AM22" t="e">
        <f>P22*#REF!</f>
        <v>#REF!</v>
      </c>
      <c r="AN22">
        <v>1</v>
      </c>
      <c r="AP22" t="e">
        <f>W22*#REF!</f>
        <v>#REF!</v>
      </c>
      <c r="AQ22">
        <f>IF(X22 = "Hi Temp",#REF!, 0)</f>
        <v>0</v>
      </c>
      <c r="AR22" t="e">
        <f>(2013 - Y22)*#REF!</f>
        <v>#REF!</v>
      </c>
      <c r="AS22" s="11" t="e">
        <f>#REF! / 'RISK (2 old)'!Z22</f>
        <v>#REF!</v>
      </c>
      <c r="AT22" t="e">
        <f>(DATE(2013,6,1) - AA22) *#REF!</f>
        <v>#REF!</v>
      </c>
      <c r="AU22" t="e">
        <f>AB22*#REF!</f>
        <v>#REF!</v>
      </c>
      <c r="AW22">
        <f xml:space="preserve"> IF(AC22 = "", 1,#REF!)</f>
        <v>1</v>
      </c>
      <c r="AX22">
        <v>1</v>
      </c>
      <c r="AZ22" s="48" t="e">
        <f t="shared" si="1"/>
        <v>#REF!</v>
      </c>
      <c r="BA22" s="48" t="e">
        <f t="shared" si="2"/>
        <v>#REF!</v>
      </c>
      <c r="BB22" s="48" t="e">
        <f t="shared" si="3"/>
        <v>#REF!</v>
      </c>
    </row>
    <row r="23" spans="1:54" x14ac:dyDescent="0.2">
      <c r="B23" s="9" t="s">
        <v>29</v>
      </c>
      <c r="C23" s="2">
        <v>0</v>
      </c>
      <c r="D23" s="2">
        <v>0</v>
      </c>
      <c r="E23" s="12">
        <v>3500</v>
      </c>
      <c r="F23" s="5">
        <v>5000</v>
      </c>
      <c r="G23" s="12">
        <v>14</v>
      </c>
      <c r="H23" s="13">
        <v>2513</v>
      </c>
      <c r="I23" s="2"/>
      <c r="J23" s="12">
        <v>14</v>
      </c>
      <c r="K23" s="5">
        <v>2</v>
      </c>
      <c r="L23" s="2">
        <v>24</v>
      </c>
      <c r="M23" s="13">
        <f t="shared" si="13"/>
        <v>94.469266063166856</v>
      </c>
      <c r="N23" s="13">
        <f t="shared" si="13"/>
        <v>134.95609437595263</v>
      </c>
      <c r="O23" s="14">
        <f t="shared" si="0"/>
        <v>2577.7789253004571</v>
      </c>
      <c r="P23" s="13">
        <v>3</v>
      </c>
      <c r="Q23" s="13"/>
      <c r="R23" t="s">
        <v>2</v>
      </c>
      <c r="S23" t="s">
        <v>6</v>
      </c>
      <c r="T23" t="s">
        <v>4</v>
      </c>
      <c r="W23">
        <v>1</v>
      </c>
      <c r="Y23">
        <v>1936</v>
      </c>
      <c r="Z23">
        <v>0.375</v>
      </c>
      <c r="AA23" s="20">
        <v>39626</v>
      </c>
      <c r="AB23" s="21">
        <v>0.22170000000000001</v>
      </c>
      <c r="AC23" s="21" t="s">
        <v>33</v>
      </c>
      <c r="AE23" s="11" t="e">
        <f>O23*#REF!</f>
        <v>#REF!</v>
      </c>
      <c r="AF23" t="e">
        <f>IF(#REF! = "DOT",#REF!, 0) + IF(#REF! = "USCG",#REF!, 0)</f>
        <v>#REF!</v>
      </c>
      <c r="AG23" t="e">
        <f>IF(#REF! = "Yes",#REF!, 0) + IF(#REF! = "Yes",#REF!, 0)</f>
        <v>#REF!</v>
      </c>
      <c r="AH23" t="e">
        <f>P23*#REF!</f>
        <v>#REF!</v>
      </c>
      <c r="AI23" t="e">
        <f>Q23*#REF!</f>
        <v>#REF!</v>
      </c>
      <c r="AJ23">
        <f>IF(R23 = "Butane",#REF!, 0) + IF(R23 = "Avjet",#REF!, 0) + IF(R23 = "Avgas",#REF!, 0)</f>
        <v>0</v>
      </c>
      <c r="AK23" t="e">
        <f>IF(T23 = "Yes",#REF!, 0 )  +  IF(U23 = "Yes",#REF!, 0 )</f>
        <v>#REF!</v>
      </c>
      <c r="AM23" t="e">
        <f>P23*#REF!</f>
        <v>#REF!</v>
      </c>
      <c r="AN23">
        <v>1</v>
      </c>
      <c r="AP23" t="e">
        <f>W23*#REF!</f>
        <v>#REF!</v>
      </c>
      <c r="AQ23">
        <f>IF(X23 = "Hi Temp",#REF!, 0)</f>
        <v>0</v>
      </c>
      <c r="AR23" t="e">
        <f>(2013 - Y23)*#REF!</f>
        <v>#REF!</v>
      </c>
      <c r="AS23" s="11" t="e">
        <f>#REF! / 'RISK (2 old)'!Z23</f>
        <v>#REF!</v>
      </c>
      <c r="AT23" t="e">
        <f>(DATE(2013,6,1) - AA23) *#REF!</f>
        <v>#REF!</v>
      </c>
      <c r="AU23" t="e">
        <f>AB23*#REF!</f>
        <v>#REF!</v>
      </c>
      <c r="AW23" t="e">
        <f xml:space="preserve"> IF(AC23 = "", 1,#REF!)</f>
        <v>#REF!</v>
      </c>
      <c r="AX23">
        <v>1</v>
      </c>
      <c r="AZ23" s="48" t="e">
        <f t="shared" si="1"/>
        <v>#REF!</v>
      </c>
      <c r="BA23" s="48" t="e">
        <f t="shared" si="2"/>
        <v>#REF!</v>
      </c>
      <c r="BB23" s="48" t="e">
        <f t="shared" si="3"/>
        <v>#REF!</v>
      </c>
    </row>
    <row r="24" spans="1:54" s="34" customFormat="1" x14ac:dyDescent="0.2">
      <c r="A24" s="47"/>
      <c r="B24" s="29" t="s">
        <v>30</v>
      </c>
      <c r="C24" s="30">
        <v>0</v>
      </c>
      <c r="D24" s="30">
        <v>0</v>
      </c>
      <c r="E24" s="31"/>
      <c r="F24" s="32"/>
      <c r="G24" s="31"/>
      <c r="H24" s="33"/>
      <c r="I24" s="30"/>
      <c r="J24" s="31"/>
      <c r="K24" s="32"/>
      <c r="L24" s="30"/>
      <c r="M24" s="33"/>
      <c r="N24" s="33"/>
      <c r="O24" s="33"/>
      <c r="P24" s="33"/>
      <c r="Q24" s="33"/>
      <c r="AA24" s="35"/>
      <c r="AB24" s="36"/>
      <c r="AC24" s="36"/>
      <c r="AE24" s="37"/>
      <c r="AZ24" s="48"/>
      <c r="BA24" s="48"/>
    </row>
    <row r="25" spans="1:54" x14ac:dyDescent="0.2">
      <c r="B25" s="9" t="s">
        <v>31</v>
      </c>
      <c r="C25" s="2">
        <v>0</v>
      </c>
      <c r="D25" s="2">
        <v>0</v>
      </c>
      <c r="E25" s="12">
        <v>15000</v>
      </c>
      <c r="F25" s="15"/>
      <c r="G25" s="12">
        <v>24</v>
      </c>
      <c r="H25" s="13">
        <f>4*H16</f>
        <v>7744</v>
      </c>
      <c r="I25" s="2"/>
      <c r="J25" s="12">
        <v>24</v>
      </c>
      <c r="K25" s="5">
        <v>2</v>
      </c>
      <c r="L25" s="2">
        <v>24</v>
      </c>
      <c r="M25" s="13">
        <f t="shared" si="13"/>
        <v>830.64775306025774</v>
      </c>
      <c r="N25" s="13">
        <f t="shared" si="13"/>
        <v>0</v>
      </c>
      <c r="O25" s="14">
        <f t="shared" si="0"/>
        <v>7744</v>
      </c>
      <c r="P25" s="13">
        <v>3</v>
      </c>
      <c r="Q25" s="13"/>
      <c r="R25" t="s">
        <v>32</v>
      </c>
      <c r="S25" t="s">
        <v>7</v>
      </c>
      <c r="T25" t="s">
        <v>4</v>
      </c>
      <c r="V25" t="s">
        <v>3</v>
      </c>
      <c r="W25">
        <v>0</v>
      </c>
      <c r="X25" t="s">
        <v>18</v>
      </c>
      <c r="Y25">
        <v>2009</v>
      </c>
      <c r="Z25">
        <v>0.5</v>
      </c>
      <c r="AA25" s="20">
        <v>39994</v>
      </c>
      <c r="AB25" s="21">
        <v>0.46629999999999999</v>
      </c>
      <c r="AC25" s="21"/>
      <c r="AE25" s="11" t="e">
        <f>O25*#REF!</f>
        <v>#REF!</v>
      </c>
      <c r="AF25" t="e">
        <f>IF(#REF! = "DOT",#REF!, 0) + IF(#REF! = "USCG",#REF!, 0)</f>
        <v>#REF!</v>
      </c>
      <c r="AG25" t="e">
        <f>IF(#REF! = "Yes",#REF!, 0) + IF(#REF! = "Yes",#REF!, 0)</f>
        <v>#REF!</v>
      </c>
      <c r="AH25" t="e">
        <f>P25*#REF!</f>
        <v>#REF!</v>
      </c>
      <c r="AI25" t="e">
        <f>Q25*#REF!</f>
        <v>#REF!</v>
      </c>
      <c r="AJ25">
        <f>IF(R25 = "Butane",#REF!, 0) + IF(R25 = "Avjet",#REF!, 0) + IF(R25 = "Avgas",#REF!, 0)</f>
        <v>0</v>
      </c>
      <c r="AK25" t="e">
        <f>IF(T25 = "Yes",#REF!, 0 )  +  IF(U25 = "Yes",#REF!, 0 )</f>
        <v>#REF!</v>
      </c>
      <c r="AM25" t="e">
        <f>P25*#REF!</f>
        <v>#REF!</v>
      </c>
      <c r="AN25" t="e">
        <f>#REF!</f>
        <v>#REF!</v>
      </c>
      <c r="AP25" t="e">
        <f>W25*#REF!</f>
        <v>#REF!</v>
      </c>
      <c r="AQ25" t="e">
        <f>IF(X25 = "Hi Temp",#REF!, 0)</f>
        <v>#REF!</v>
      </c>
      <c r="AR25" t="e">
        <f>(2013 - Y25)*#REF!</f>
        <v>#REF!</v>
      </c>
      <c r="AS25" s="11" t="e">
        <f>#REF! / 'RISK (2 old)'!Z25</f>
        <v>#REF!</v>
      </c>
      <c r="AT25" t="e">
        <f>(DATE(2013,6,1) - AA25) *#REF!</f>
        <v>#REF!</v>
      </c>
      <c r="AU25" t="e">
        <f>AB25*#REF!</f>
        <v>#REF!</v>
      </c>
      <c r="AW25">
        <f xml:space="preserve"> IF(AC25 = "", 1,#REF!)</f>
        <v>1</v>
      </c>
      <c r="AX25" t="e">
        <f>#REF!</f>
        <v>#REF!</v>
      </c>
      <c r="AZ25" s="48" t="e">
        <f t="shared" si="1"/>
        <v>#REF!</v>
      </c>
      <c r="BA25" s="48" t="e">
        <f t="shared" si="2"/>
        <v>#REF!</v>
      </c>
      <c r="BB25" s="48" t="e">
        <f t="shared" si="3"/>
        <v>#REF!</v>
      </c>
    </row>
    <row r="26" spans="1:54" x14ac:dyDescent="0.2">
      <c r="B26" s="9" t="s">
        <v>34</v>
      </c>
      <c r="C26" s="2">
        <v>0</v>
      </c>
      <c r="D26" s="2">
        <v>0</v>
      </c>
      <c r="E26" s="12">
        <v>1000</v>
      </c>
      <c r="F26" s="5">
        <v>1500</v>
      </c>
      <c r="G26" s="12">
        <v>8</v>
      </c>
      <c r="H26" s="13">
        <v>635</v>
      </c>
      <c r="I26" s="2"/>
      <c r="J26" s="12">
        <v>12</v>
      </c>
      <c r="K26" s="5">
        <v>2</v>
      </c>
      <c r="L26" s="2">
        <v>24</v>
      </c>
      <c r="M26" s="13">
        <f t="shared" si="13"/>
        <v>21.97669304727609</v>
      </c>
      <c r="N26" s="13">
        <f t="shared" si="13"/>
        <v>32.965039570914129</v>
      </c>
      <c r="O26" s="14">
        <f t="shared" si="0"/>
        <v>650.82321899403883</v>
      </c>
      <c r="P26" s="13">
        <v>1</v>
      </c>
      <c r="Q26" s="13"/>
      <c r="R26" t="s">
        <v>17</v>
      </c>
      <c r="S26" t="s">
        <v>6</v>
      </c>
      <c r="T26" t="s">
        <v>4</v>
      </c>
      <c r="W26">
        <v>0</v>
      </c>
      <c r="X26" t="s">
        <v>18</v>
      </c>
      <c r="Y26">
        <v>1928</v>
      </c>
      <c r="Z26">
        <v>0.375</v>
      </c>
      <c r="AA26" s="20">
        <v>39892</v>
      </c>
      <c r="AB26" s="21">
        <v>0.1804</v>
      </c>
      <c r="AC26" s="21"/>
      <c r="AE26" s="11" t="e">
        <f>O26*#REF!</f>
        <v>#REF!</v>
      </c>
      <c r="AF26" t="e">
        <f>IF(#REF! = "DOT",#REF!, 0) + IF(#REF! = "USCG",#REF!, 0)</f>
        <v>#REF!</v>
      </c>
      <c r="AG26" t="e">
        <f>IF(#REF! = "Yes",#REF!, 0) + IF(#REF! = "Yes",#REF!, 0)</f>
        <v>#REF!</v>
      </c>
      <c r="AH26" t="e">
        <f>P26*#REF!</f>
        <v>#REF!</v>
      </c>
      <c r="AI26" t="e">
        <f>Q26*#REF!</f>
        <v>#REF!</v>
      </c>
      <c r="AJ26">
        <f>IF(R26 = "Butane",#REF!, 0) + IF(R26 = "Avjet",#REF!, 0) + IF(R26 = "Avgas",#REF!, 0)</f>
        <v>0</v>
      </c>
      <c r="AK26" t="e">
        <f>IF(T26 = "Yes",#REF!, 0 )  +  IF(U26 = "Yes",#REF!, 0 )</f>
        <v>#REF!</v>
      </c>
      <c r="AM26" t="e">
        <f>P26*#REF!</f>
        <v>#REF!</v>
      </c>
      <c r="AN26">
        <v>1</v>
      </c>
      <c r="AP26" t="e">
        <f>W26*#REF!</f>
        <v>#REF!</v>
      </c>
      <c r="AQ26" t="e">
        <f>IF(X26 = "Hi Temp",#REF!, 0)</f>
        <v>#REF!</v>
      </c>
      <c r="AR26" t="e">
        <f>(2013 - Y26)*#REF!</f>
        <v>#REF!</v>
      </c>
      <c r="AS26" s="11" t="e">
        <f>#REF! / 'RISK (2 old)'!Z26</f>
        <v>#REF!</v>
      </c>
      <c r="AT26" t="e">
        <f>(DATE(2013,6,1) - AA26) *#REF!</f>
        <v>#REF!</v>
      </c>
      <c r="AU26" t="e">
        <f>AB26*#REF!</f>
        <v>#REF!</v>
      </c>
      <c r="AW26">
        <f xml:space="preserve"> IF(AC26 = "", 1,#REF!)</f>
        <v>1</v>
      </c>
      <c r="AX26">
        <v>1</v>
      </c>
      <c r="AZ26" s="48" t="e">
        <f t="shared" si="1"/>
        <v>#REF!</v>
      </c>
      <c r="BA26" s="48" t="e">
        <f t="shared" si="2"/>
        <v>#REF!</v>
      </c>
      <c r="BB26" s="48" t="e">
        <f t="shared" si="3"/>
        <v>#REF!</v>
      </c>
    </row>
    <row r="27" spans="1:54" x14ac:dyDescent="0.2">
      <c r="B27" s="9" t="s">
        <v>35</v>
      </c>
      <c r="C27" s="2">
        <v>0</v>
      </c>
      <c r="D27" s="2">
        <v>0</v>
      </c>
      <c r="E27" s="12">
        <v>2000</v>
      </c>
      <c r="F27" s="5">
        <v>4000</v>
      </c>
      <c r="G27" s="12">
        <v>10</v>
      </c>
      <c r="H27" s="13">
        <v>1771</v>
      </c>
      <c r="I27" s="2"/>
      <c r="J27" s="12">
        <v>12</v>
      </c>
      <c r="K27" s="5">
        <v>2</v>
      </c>
      <c r="L27" s="2">
        <v>24</v>
      </c>
      <c r="M27" s="13">
        <f t="shared" si="13"/>
        <v>43.953386094552179</v>
      </c>
      <c r="N27" s="13">
        <f t="shared" si="13"/>
        <v>87.906772189104359</v>
      </c>
      <c r="O27" s="14">
        <f t="shared" si="0"/>
        <v>1813.19525065077</v>
      </c>
      <c r="P27" s="13">
        <v>3</v>
      </c>
      <c r="Q27" s="13"/>
      <c r="R27" t="s">
        <v>36</v>
      </c>
      <c r="S27" t="s">
        <v>6</v>
      </c>
      <c r="T27" t="s">
        <v>4</v>
      </c>
      <c r="W27" s="56">
        <v>0</v>
      </c>
      <c r="Y27">
        <v>1928</v>
      </c>
      <c r="Z27">
        <v>0.375</v>
      </c>
      <c r="AA27" s="20">
        <v>40772</v>
      </c>
      <c r="AB27" s="21">
        <v>0.17710000000000001</v>
      </c>
      <c r="AC27" s="21"/>
      <c r="AE27" s="11" t="e">
        <f>O27*#REF!</f>
        <v>#REF!</v>
      </c>
      <c r="AF27" t="e">
        <f>IF(#REF! = "DOT",#REF!, 0) + IF(#REF! = "USCG",#REF!, 0)</f>
        <v>#REF!</v>
      </c>
      <c r="AG27" t="e">
        <f>IF(#REF! = "Yes",#REF!, 0) + IF(#REF! = "Yes",#REF!, 0)</f>
        <v>#REF!</v>
      </c>
      <c r="AH27" t="e">
        <f>P27*#REF!</f>
        <v>#REF!</v>
      </c>
      <c r="AI27" t="e">
        <f>Q27*#REF!</f>
        <v>#REF!</v>
      </c>
      <c r="AJ27">
        <f>IF(R27 = "Butane",#REF!, 0) + IF(R27 = "Avjet",#REF!, 0) + IF(R27 = "Avgas",#REF!, 0)</f>
        <v>0</v>
      </c>
      <c r="AK27" t="e">
        <f>IF(T27 = "Yes",#REF!, 0 )  +  IF(U27 = "Yes",#REF!, 0 )</f>
        <v>#REF!</v>
      </c>
      <c r="AM27" t="e">
        <f>P27*#REF!</f>
        <v>#REF!</v>
      </c>
      <c r="AN27">
        <v>1</v>
      </c>
      <c r="AP27" t="e">
        <f>W27*#REF!</f>
        <v>#REF!</v>
      </c>
      <c r="AQ27">
        <f>IF(X27 = "Hi Temp",#REF!, 0)</f>
        <v>0</v>
      </c>
      <c r="AR27" t="e">
        <f>(2013 - Y27)*#REF!</f>
        <v>#REF!</v>
      </c>
      <c r="AS27" s="11" t="e">
        <f>#REF! / 'RISK (2 old)'!Z27</f>
        <v>#REF!</v>
      </c>
      <c r="AT27" t="e">
        <f>(DATE(2013,6,1) - AA27) *#REF!</f>
        <v>#REF!</v>
      </c>
      <c r="AU27" t="e">
        <f>AB27*#REF!</f>
        <v>#REF!</v>
      </c>
      <c r="AW27">
        <f xml:space="preserve"> IF(AC27 = "", 1,#REF!)</f>
        <v>1</v>
      </c>
      <c r="AX27">
        <v>1</v>
      </c>
      <c r="AZ27" s="48" t="e">
        <f t="shared" si="1"/>
        <v>#REF!</v>
      </c>
      <c r="BA27" s="48" t="e">
        <f t="shared" si="2"/>
        <v>#REF!</v>
      </c>
      <c r="BB27" s="48" t="e">
        <f t="shared" si="3"/>
        <v>#REF!</v>
      </c>
    </row>
    <row r="28" spans="1:54" x14ac:dyDescent="0.2">
      <c r="B28" s="9" t="s">
        <v>37</v>
      </c>
      <c r="C28" s="2">
        <v>0</v>
      </c>
      <c r="D28" s="2">
        <v>0</v>
      </c>
      <c r="E28" s="12">
        <v>3500</v>
      </c>
      <c r="F28" s="5">
        <v>5000</v>
      </c>
      <c r="G28" s="12">
        <v>12</v>
      </c>
      <c r="H28" s="13">
        <v>2359</v>
      </c>
      <c r="I28" s="2"/>
      <c r="J28" s="12">
        <v>12</v>
      </c>
      <c r="K28" s="5">
        <v>2</v>
      </c>
      <c r="L28" s="2">
        <v>24</v>
      </c>
      <c r="M28" s="13">
        <f t="shared" si="13"/>
        <v>76.918425665466316</v>
      </c>
      <c r="N28" s="13">
        <f t="shared" si="13"/>
        <v>109.88346523638045</v>
      </c>
      <c r="O28" s="14">
        <f t="shared" si="0"/>
        <v>2411.7440633134624</v>
      </c>
      <c r="P28" s="13">
        <v>3</v>
      </c>
      <c r="Q28" s="13"/>
      <c r="R28" t="s">
        <v>2</v>
      </c>
      <c r="S28" t="s">
        <v>6</v>
      </c>
      <c r="T28" t="s">
        <v>4</v>
      </c>
      <c r="W28" s="56">
        <v>0</v>
      </c>
      <c r="Y28">
        <v>1930</v>
      </c>
      <c r="Z28">
        <v>0.375</v>
      </c>
      <c r="AA28" s="20">
        <v>40753</v>
      </c>
      <c r="AB28" s="55">
        <v>0.15</v>
      </c>
      <c r="AC28" s="21"/>
      <c r="AE28" s="11" t="e">
        <f>O28*#REF!</f>
        <v>#REF!</v>
      </c>
      <c r="AF28" t="e">
        <f>IF(#REF! = "DOT",#REF!, 0) + IF(#REF! = "USCG",#REF!, 0)</f>
        <v>#REF!</v>
      </c>
      <c r="AG28" t="e">
        <f>IF(#REF! = "Yes",#REF!, 0) + IF(#REF! = "Yes",#REF!, 0)</f>
        <v>#REF!</v>
      </c>
      <c r="AH28" t="e">
        <f>P28*#REF!</f>
        <v>#REF!</v>
      </c>
      <c r="AI28" t="e">
        <f>Q28*#REF!</f>
        <v>#REF!</v>
      </c>
      <c r="AJ28">
        <f>IF(R28 = "Butane",#REF!, 0) + IF(R28 = "Avjet",#REF!, 0) + IF(R28 = "Avgas",#REF!, 0)</f>
        <v>0</v>
      </c>
      <c r="AK28" t="e">
        <f>IF(T28 = "Yes",#REF!, 0 )  +  IF(U28 = "Yes",#REF!, 0 )</f>
        <v>#REF!</v>
      </c>
      <c r="AM28" t="e">
        <f>P28*#REF!</f>
        <v>#REF!</v>
      </c>
      <c r="AN28">
        <v>1</v>
      </c>
      <c r="AP28" t="e">
        <f>W28*#REF!</f>
        <v>#REF!</v>
      </c>
      <c r="AQ28">
        <f>IF(X28 = "Hi Temp",#REF!, 0)</f>
        <v>0</v>
      </c>
      <c r="AR28" t="e">
        <f>(2013 - Y28)*#REF!</f>
        <v>#REF!</v>
      </c>
      <c r="AS28" s="11" t="e">
        <f>#REF! / 'RISK (2 old)'!Z28</f>
        <v>#REF!</v>
      </c>
      <c r="AT28" t="e">
        <f>(DATE(2013,6,1) - AA28) *#REF!</f>
        <v>#REF!</v>
      </c>
      <c r="AU28">
        <v>0</v>
      </c>
      <c r="AW28">
        <f xml:space="preserve"> IF(AC28 = "", 1,#REF!)</f>
        <v>1</v>
      </c>
      <c r="AX28">
        <v>1</v>
      </c>
      <c r="AZ28" s="48" t="e">
        <f t="shared" si="1"/>
        <v>#REF!</v>
      </c>
      <c r="BA28" s="48" t="e">
        <f t="shared" si="2"/>
        <v>#REF!</v>
      </c>
      <c r="BB28" s="48" t="e">
        <f t="shared" si="3"/>
        <v>#REF!</v>
      </c>
    </row>
    <row r="29" spans="1:54" s="34" customFormat="1" x14ac:dyDescent="0.2">
      <c r="A29" s="47"/>
      <c r="B29" s="29" t="s">
        <v>38</v>
      </c>
      <c r="C29" s="30">
        <v>0</v>
      </c>
      <c r="D29" s="30">
        <v>0</v>
      </c>
      <c r="E29" s="31"/>
      <c r="F29" s="32"/>
      <c r="G29" s="31"/>
      <c r="H29" s="33"/>
      <c r="I29" s="30"/>
      <c r="J29" s="31"/>
      <c r="K29" s="32"/>
      <c r="L29" s="30"/>
      <c r="M29" s="33"/>
      <c r="N29" s="33"/>
      <c r="O29" s="33"/>
      <c r="P29" s="33"/>
      <c r="Q29" s="33"/>
      <c r="AA29" s="35"/>
      <c r="AB29" s="36"/>
      <c r="AC29" s="36"/>
      <c r="AE29" s="37"/>
      <c r="AZ29" s="48"/>
      <c r="BA29" s="48"/>
    </row>
    <row r="30" spans="1:54" s="43" customFormat="1" x14ac:dyDescent="0.2">
      <c r="A30" s="47"/>
      <c r="B30" s="38" t="s">
        <v>40</v>
      </c>
      <c r="C30" s="39">
        <v>0</v>
      </c>
      <c r="D30" s="39">
        <v>0</v>
      </c>
      <c r="E30" s="40" t="s">
        <v>24</v>
      </c>
      <c r="F30" s="41"/>
      <c r="G30" s="40">
        <v>4</v>
      </c>
      <c r="H30" s="42">
        <f>H6/1.414</f>
        <v>449.08062234794909</v>
      </c>
      <c r="I30" s="39"/>
      <c r="J30" s="40">
        <v>4</v>
      </c>
      <c r="K30" s="41">
        <v>2</v>
      </c>
      <c r="L30" s="39">
        <v>24</v>
      </c>
      <c r="M30" s="42">
        <v>0</v>
      </c>
      <c r="N30" s="42">
        <f t="shared" si="13"/>
        <v>0</v>
      </c>
      <c r="O30" s="42"/>
      <c r="P30" s="42">
        <v>3</v>
      </c>
      <c r="Q30" s="42"/>
      <c r="R30" s="43" t="s">
        <v>24</v>
      </c>
      <c r="T30" s="43" t="s">
        <v>4</v>
      </c>
      <c r="Y30" s="43">
        <v>1927</v>
      </c>
      <c r="Z30" s="43">
        <v>0.23699999999999999</v>
      </c>
      <c r="AA30" s="44"/>
      <c r="AB30" s="45">
        <v>7.9100000000000004E-2</v>
      </c>
      <c r="AC30" s="45"/>
      <c r="AE30" s="46" t="e">
        <f>O30*#REF!</f>
        <v>#REF!</v>
      </c>
      <c r="AF30" s="43" t="e">
        <f>IF(#REF! = "DOT",#REF!, 0) + IF(#REF! = "USCG",#REF!, 0)</f>
        <v>#REF!</v>
      </c>
      <c r="AG30" s="43" t="e">
        <f>IF(#REF! = "Yes",#REF!, 0) + IF(#REF! = "Yes",#REF!, 0)</f>
        <v>#REF!</v>
      </c>
      <c r="AH30" s="43" t="e">
        <f>P30*#REF!</f>
        <v>#REF!</v>
      </c>
      <c r="AJ30" s="43">
        <f>IF(R30 = "Butane",#REF!, 0) + IF(R30 = "Avjet",#REF!, 0) + IF(R30 = "Avgas",#REF!, 0)</f>
        <v>0</v>
      </c>
      <c r="AK30" s="43" t="e">
        <f>IF(T30 = "Yes",#REF!, 0 )  +  IF(U30 = "Yes",#REF!, 0 )</f>
        <v>#REF!</v>
      </c>
      <c r="AM30" s="43" t="e">
        <f>P30*#REF!</f>
        <v>#REF!</v>
      </c>
      <c r="AN30" s="43">
        <v>1</v>
      </c>
      <c r="AP30" s="43" t="e">
        <f>W30*#REF!</f>
        <v>#REF!</v>
      </c>
      <c r="AQ30" s="43">
        <f>IF(X30 = "Hi Temp",#REF!, 0)</f>
        <v>0</v>
      </c>
      <c r="AR30" s="43" t="e">
        <f>(2013 - Y30)*#REF!</f>
        <v>#REF!</v>
      </c>
      <c r="AS30" s="46" t="e">
        <f>#REF! / 'RISK (2 old)'!Z30</f>
        <v>#REF!</v>
      </c>
      <c r="AT30" s="43" t="e">
        <f>(DATE(2013,6,1) - AA30) *#REF!</f>
        <v>#REF!</v>
      </c>
      <c r="AU30" s="43" t="e">
        <f>AB30*#REF!</f>
        <v>#REF!</v>
      </c>
      <c r="AX30" s="43">
        <v>1</v>
      </c>
      <c r="AZ30" s="48" t="e">
        <f t="shared" si="1"/>
        <v>#REF!</v>
      </c>
      <c r="BA30" s="48"/>
    </row>
    <row r="31" spans="1:54" x14ac:dyDescent="0.2">
      <c r="B31" s="9" t="s">
        <v>42</v>
      </c>
      <c r="C31" s="2">
        <v>0</v>
      </c>
      <c r="D31" s="2">
        <v>0</v>
      </c>
      <c r="E31" s="12">
        <v>300</v>
      </c>
      <c r="F31" s="5">
        <v>650</v>
      </c>
      <c r="G31" s="12">
        <v>6</v>
      </c>
      <c r="H31" s="13">
        <v>558</v>
      </c>
      <c r="I31" s="2"/>
      <c r="J31" s="12">
        <v>6</v>
      </c>
      <c r="K31" s="5">
        <v>2</v>
      </c>
      <c r="L31" s="2">
        <v>24</v>
      </c>
      <c r="M31" s="13">
        <f t="shared" si="13"/>
        <v>2.6164973778797482</v>
      </c>
      <c r="N31" s="13">
        <f t="shared" si="13"/>
        <v>5.6690776520727875</v>
      </c>
      <c r="O31" s="14">
        <f t="shared" si="0"/>
        <v>560.7211572729949</v>
      </c>
      <c r="P31" s="13">
        <v>3</v>
      </c>
      <c r="Q31" s="13"/>
      <c r="R31" t="s">
        <v>43</v>
      </c>
      <c r="S31" t="s">
        <v>7</v>
      </c>
      <c r="T31" t="s">
        <v>4</v>
      </c>
      <c r="U31" t="s">
        <v>4</v>
      </c>
      <c r="W31">
        <v>3</v>
      </c>
      <c r="Y31">
        <v>1928</v>
      </c>
      <c r="Z31">
        <v>0.28000000000000003</v>
      </c>
      <c r="AA31" s="20">
        <v>40591</v>
      </c>
      <c r="AB31" s="21">
        <v>0.32529999999999998</v>
      </c>
      <c r="AC31" s="21"/>
      <c r="AE31" s="11" t="e">
        <f>O31*#REF!</f>
        <v>#REF!</v>
      </c>
      <c r="AF31" t="e">
        <f>IF(#REF! = "DOT",#REF!, 0) + IF(#REF! = "USCG",#REF!, 0)</f>
        <v>#REF!</v>
      </c>
      <c r="AG31" t="e">
        <f>IF(#REF! = "Yes",#REF!, 0) + IF(#REF! = "Yes",#REF!, 0)</f>
        <v>#REF!</v>
      </c>
      <c r="AH31" t="e">
        <f>P31*#REF!</f>
        <v>#REF!</v>
      </c>
      <c r="AI31" t="e">
        <f>Q31*#REF!</f>
        <v>#REF!</v>
      </c>
      <c r="AJ31">
        <f>IF(R31 = "Butane",#REF!, 0) + IF(R31 = "Avjet",#REF!, 0) + IF(R31 = "Avgas",#REF!, 0)</f>
        <v>0</v>
      </c>
      <c r="AK31" t="e">
        <f>IF(T31 = "Yes",#REF!, 0 )  +  IF(U31 = "Yes",#REF!, 0 )</f>
        <v>#REF!</v>
      </c>
      <c r="AM31" t="e">
        <f>P31*#REF!</f>
        <v>#REF!</v>
      </c>
      <c r="AN31">
        <v>1</v>
      </c>
      <c r="AP31" t="e">
        <f>W31*#REF!</f>
        <v>#REF!</v>
      </c>
      <c r="AQ31">
        <f>IF(X31 = "Hi Temp",#REF!, 0)</f>
        <v>0</v>
      </c>
      <c r="AR31" t="e">
        <f>(2013 - Y31)*#REF!</f>
        <v>#REF!</v>
      </c>
      <c r="AS31" s="11" t="e">
        <f>#REF! / 'RISK (2 old)'!Z31</f>
        <v>#REF!</v>
      </c>
      <c r="AT31" t="e">
        <f>(DATE(2013,6,1) - AA31) *#REF!</f>
        <v>#REF!</v>
      </c>
      <c r="AU31" t="e">
        <f>AB31*#REF!</f>
        <v>#REF!</v>
      </c>
      <c r="AW31">
        <f xml:space="preserve"> IF(AC31 = "", 1,#REF!)</f>
        <v>1</v>
      </c>
      <c r="AX31">
        <v>1</v>
      </c>
      <c r="AZ31" s="48" t="e">
        <f t="shared" si="1"/>
        <v>#REF!</v>
      </c>
      <c r="BA31" s="48" t="e">
        <f t="shared" si="2"/>
        <v>#REF!</v>
      </c>
      <c r="BB31" s="48" t="e">
        <f t="shared" si="3"/>
        <v>#REF!</v>
      </c>
    </row>
    <row r="32" spans="1:54" x14ac:dyDescent="0.2">
      <c r="B32" s="9" t="s">
        <v>44</v>
      </c>
      <c r="C32" s="2">
        <v>0</v>
      </c>
      <c r="D32" s="2">
        <v>0</v>
      </c>
      <c r="E32" s="12">
        <v>2000</v>
      </c>
      <c r="F32" s="5">
        <v>3000</v>
      </c>
      <c r="G32" s="12">
        <v>10</v>
      </c>
      <c r="H32" s="13">
        <v>1522</v>
      </c>
      <c r="I32" s="2"/>
      <c r="J32" s="12">
        <v>10</v>
      </c>
      <c r="K32" s="5">
        <v>2</v>
      </c>
      <c r="L32" s="2">
        <v>24</v>
      </c>
      <c r="M32" s="13">
        <f t="shared" si="13"/>
        <v>34.468309398467795</v>
      </c>
      <c r="N32" s="13">
        <f t="shared" si="13"/>
        <v>51.702464097701693</v>
      </c>
      <c r="O32" s="14">
        <f t="shared" si="0"/>
        <v>1546.8171827668968</v>
      </c>
      <c r="P32" s="13">
        <v>3</v>
      </c>
      <c r="Q32" s="13"/>
      <c r="R32" t="s">
        <v>2</v>
      </c>
      <c r="S32" t="s">
        <v>7</v>
      </c>
      <c r="T32" t="s">
        <v>4</v>
      </c>
      <c r="W32">
        <v>0</v>
      </c>
      <c r="Y32">
        <v>1940</v>
      </c>
      <c r="Z32">
        <v>0.36499999999999999</v>
      </c>
      <c r="AA32" s="20">
        <v>40761</v>
      </c>
      <c r="AB32" s="21">
        <v>0.1749</v>
      </c>
      <c r="AC32" s="21"/>
      <c r="AE32" s="11" t="e">
        <f>O32*#REF!</f>
        <v>#REF!</v>
      </c>
      <c r="AF32" t="e">
        <f>IF(#REF! = "DOT",#REF!, 0) + IF(#REF! = "USCG",#REF!, 0)</f>
        <v>#REF!</v>
      </c>
      <c r="AG32" t="e">
        <f>IF(#REF! = "Yes",#REF!, 0) + IF(#REF! = "Yes",#REF!, 0)</f>
        <v>#REF!</v>
      </c>
      <c r="AH32" t="e">
        <f>P32*#REF!</f>
        <v>#REF!</v>
      </c>
      <c r="AI32" t="e">
        <f>Q32*#REF!</f>
        <v>#REF!</v>
      </c>
      <c r="AJ32">
        <f>IF(R32 = "Butane",#REF!, 0) + IF(R32 = "Avjet",#REF!, 0) + IF(R32 = "Avgas",#REF!, 0)</f>
        <v>0</v>
      </c>
      <c r="AK32" t="e">
        <f>IF(T32 = "Yes",#REF!, 0 )  +  IF(U32 = "Yes",#REF!, 0 )</f>
        <v>#REF!</v>
      </c>
      <c r="AM32" t="e">
        <f>P32*#REF!</f>
        <v>#REF!</v>
      </c>
      <c r="AN32">
        <v>1</v>
      </c>
      <c r="AP32" t="e">
        <f>W32*#REF!</f>
        <v>#REF!</v>
      </c>
      <c r="AQ32">
        <f>IF(X32 = "Hi Temp",#REF!, 0)</f>
        <v>0</v>
      </c>
      <c r="AR32" t="e">
        <f>(2013 - Y32)*#REF!</f>
        <v>#REF!</v>
      </c>
      <c r="AS32" s="11" t="e">
        <f>#REF! / 'RISK (2 old)'!Z32</f>
        <v>#REF!</v>
      </c>
      <c r="AT32" t="e">
        <f>(DATE(2013,6,1) - AA32) *#REF!</f>
        <v>#REF!</v>
      </c>
      <c r="AU32" t="e">
        <f>AB32*#REF!</f>
        <v>#REF!</v>
      </c>
      <c r="AW32">
        <f xml:space="preserve"> IF(AC32 = "", 1,#REF!)</f>
        <v>1</v>
      </c>
      <c r="AX32">
        <v>1</v>
      </c>
      <c r="AZ32" s="48" t="e">
        <f t="shared" si="1"/>
        <v>#REF!</v>
      </c>
      <c r="BA32" s="48" t="e">
        <f t="shared" si="2"/>
        <v>#REF!</v>
      </c>
      <c r="BB32" s="48" t="e">
        <f t="shared" si="3"/>
        <v>#REF!</v>
      </c>
    </row>
    <row r="33" spans="1:54" x14ac:dyDescent="0.2">
      <c r="B33" s="9" t="s">
        <v>45</v>
      </c>
      <c r="C33" s="2">
        <v>0</v>
      </c>
      <c r="D33" s="2">
        <v>0</v>
      </c>
      <c r="E33" s="52">
        <v>0</v>
      </c>
      <c r="F33" s="53">
        <v>0</v>
      </c>
      <c r="G33" s="12">
        <v>8</v>
      </c>
      <c r="H33" s="54">
        <v>0</v>
      </c>
      <c r="I33" s="2"/>
      <c r="J33" s="12">
        <v>8</v>
      </c>
      <c r="K33" s="5">
        <v>2</v>
      </c>
      <c r="L33" s="2">
        <v>24</v>
      </c>
      <c r="M33" s="13">
        <f t="shared" si="13"/>
        <v>0</v>
      </c>
      <c r="N33" s="13">
        <f t="shared" si="13"/>
        <v>0</v>
      </c>
      <c r="O33" s="14">
        <f t="shared" si="0"/>
        <v>0</v>
      </c>
      <c r="P33" s="13">
        <v>3</v>
      </c>
      <c r="Q33" s="13"/>
      <c r="R33" t="s">
        <v>24</v>
      </c>
      <c r="T33" t="s">
        <v>4</v>
      </c>
      <c r="U33" t="s">
        <v>4</v>
      </c>
      <c r="W33">
        <v>0</v>
      </c>
      <c r="Y33">
        <v>1930</v>
      </c>
      <c r="Z33">
        <v>0.32200000000000001</v>
      </c>
      <c r="AA33" s="20"/>
      <c r="AB33" s="21">
        <v>0.13950000000000001</v>
      </c>
      <c r="AC33" s="21"/>
      <c r="AE33" s="11" t="e">
        <f>O33*#REF!</f>
        <v>#REF!</v>
      </c>
      <c r="AF33" t="e">
        <f>IF(#REF! = "DOT",#REF!, 0) + IF(#REF! = "USCG",#REF!, 0)</f>
        <v>#REF!</v>
      </c>
      <c r="AG33" t="e">
        <f>IF(#REF! = "Yes",#REF!, 0) + IF(#REF! = "Yes",#REF!, 0)</f>
        <v>#REF!</v>
      </c>
      <c r="AH33" t="e">
        <f>P33*#REF!</f>
        <v>#REF!</v>
      </c>
      <c r="AI33" t="e">
        <f>Q33*#REF!</f>
        <v>#REF!</v>
      </c>
      <c r="AJ33">
        <f>IF(R33 = "Butane",#REF!, 0) + IF(R33 = "Avjet",#REF!, 0) + IF(R33 = "Avgas",#REF!, 0)</f>
        <v>0</v>
      </c>
      <c r="AK33" t="e">
        <f>IF(T33 = "Yes",#REF!, 0 )  +  IF(U33 = "Yes",#REF!, 0 )</f>
        <v>#REF!</v>
      </c>
      <c r="AM33" t="e">
        <f>P33*#REF!</f>
        <v>#REF!</v>
      </c>
      <c r="AN33">
        <v>1</v>
      </c>
      <c r="AP33" t="e">
        <f>W33*#REF!</f>
        <v>#REF!</v>
      </c>
      <c r="AQ33">
        <f>IF(X33 = "Hi Temp",#REF!, 0)</f>
        <v>0</v>
      </c>
      <c r="AR33" t="e">
        <f>(2013 - Y33)*#REF!</f>
        <v>#REF!</v>
      </c>
      <c r="AS33" s="11" t="e">
        <f>#REF! / 'RISK (2 old)'!Z33</f>
        <v>#REF!</v>
      </c>
      <c r="AT33" t="e">
        <f>(DATE(2013,6,1) - AA33) *#REF!</f>
        <v>#REF!</v>
      </c>
      <c r="AU33" t="e">
        <f>AB33*#REF!</f>
        <v>#REF!</v>
      </c>
      <c r="AW33">
        <f xml:space="preserve"> IF(AC33 = "", 1,#REF!)</f>
        <v>1</v>
      </c>
      <c r="AX33">
        <v>1</v>
      </c>
      <c r="AZ33" s="48" t="e">
        <f t="shared" si="1"/>
        <v>#REF!</v>
      </c>
      <c r="BA33" s="48" t="e">
        <f t="shared" si="2"/>
        <v>#REF!</v>
      </c>
      <c r="BB33" s="48" t="e">
        <f t="shared" si="3"/>
        <v>#REF!</v>
      </c>
    </row>
    <row r="34" spans="1:54" s="43" customFormat="1" x14ac:dyDescent="0.2">
      <c r="A34" s="47"/>
      <c r="B34" s="38" t="s">
        <v>46</v>
      </c>
      <c r="C34" s="39">
        <v>0</v>
      </c>
      <c r="D34" s="39">
        <v>0</v>
      </c>
      <c r="E34" s="40" t="s">
        <v>24</v>
      </c>
      <c r="F34" s="41"/>
      <c r="G34" s="40">
        <v>4</v>
      </c>
      <c r="H34" s="42">
        <f>H30</f>
        <v>449.08062234794909</v>
      </c>
      <c r="I34" s="39"/>
      <c r="J34" s="40">
        <v>4</v>
      </c>
      <c r="K34" s="41">
        <v>2</v>
      </c>
      <c r="L34" s="39">
        <v>24</v>
      </c>
      <c r="M34" s="42">
        <v>0</v>
      </c>
      <c r="N34" s="42">
        <f t="shared" si="13"/>
        <v>0</v>
      </c>
      <c r="O34" s="42"/>
      <c r="P34" s="42">
        <v>3</v>
      </c>
      <c r="Q34" s="42"/>
      <c r="R34" s="43" t="s">
        <v>39</v>
      </c>
      <c r="T34" s="43" t="s">
        <v>4</v>
      </c>
      <c r="Y34" s="43">
        <v>1954</v>
      </c>
      <c r="Z34" s="43">
        <v>0.23699999999999999</v>
      </c>
      <c r="AA34" s="44"/>
      <c r="AB34" s="45">
        <v>9.8900000000000002E-2</v>
      </c>
      <c r="AC34" s="45"/>
      <c r="AE34" s="46" t="e">
        <f>O34*#REF!</f>
        <v>#REF!</v>
      </c>
      <c r="AF34" s="43" t="e">
        <f>IF(#REF! = "DOT",#REF!, 0) + IF(#REF! = "USCG",#REF!, 0)</f>
        <v>#REF!</v>
      </c>
      <c r="AG34" s="43" t="e">
        <f>IF(#REF! = "Yes",#REF!, 0) + IF(#REF! = "Yes",#REF!, 0)</f>
        <v>#REF!</v>
      </c>
      <c r="AH34" s="43" t="e">
        <f>P34*#REF!</f>
        <v>#REF!</v>
      </c>
      <c r="AI34" s="43" t="e">
        <f>Q34*#REF!</f>
        <v>#REF!</v>
      </c>
      <c r="AJ34" s="43">
        <f>IF(R34 = "Butane",#REF!, 0) + IF(R34 = "Avjet",#REF!, 0) + IF(R34 = "Avgas",#REF!, 0)</f>
        <v>0</v>
      </c>
      <c r="AK34" s="43" t="e">
        <f>IF(T34 = "Yes",#REF!, 0 )  +  IF(U34 = "Yes",#REF!, 0 )</f>
        <v>#REF!</v>
      </c>
      <c r="AM34" s="43" t="e">
        <f>P34*#REF!</f>
        <v>#REF!</v>
      </c>
      <c r="AN34" s="43">
        <v>1</v>
      </c>
      <c r="AP34" s="43" t="e">
        <f>W34*#REF!</f>
        <v>#REF!</v>
      </c>
      <c r="AQ34" s="43">
        <f>IF(X34 = "Hi Temp",#REF!, 0)</f>
        <v>0</v>
      </c>
      <c r="AR34" s="43" t="e">
        <f>(2013 - Y34)*#REF!</f>
        <v>#REF!</v>
      </c>
      <c r="AS34" s="46" t="e">
        <f>#REF! / 'RISK (2 old)'!Z34</f>
        <v>#REF!</v>
      </c>
      <c r="AT34" s="43" t="e">
        <f>(DATE(2013,6,1) - AA34) *#REF!</f>
        <v>#REF!</v>
      </c>
      <c r="AU34" s="43" t="e">
        <f>AB34*#REF!</f>
        <v>#REF!</v>
      </c>
      <c r="AX34" s="43">
        <v>1</v>
      </c>
      <c r="AZ34" s="48" t="e">
        <f t="shared" si="1"/>
        <v>#REF!</v>
      </c>
      <c r="BA34" s="48"/>
    </row>
    <row r="35" spans="1:54" x14ac:dyDescent="0.2">
      <c r="B35" s="9" t="s">
        <v>47</v>
      </c>
      <c r="C35" s="2">
        <v>0</v>
      </c>
      <c r="D35" s="2">
        <v>0</v>
      </c>
      <c r="E35" s="12">
        <v>1000</v>
      </c>
      <c r="F35" s="5">
        <v>3000</v>
      </c>
      <c r="G35" s="12">
        <v>6</v>
      </c>
      <c r="H35" s="13">
        <v>418</v>
      </c>
      <c r="I35" s="2"/>
      <c r="J35" s="12">
        <v>6</v>
      </c>
      <c r="K35" s="5">
        <v>2</v>
      </c>
      <c r="L35" s="2">
        <v>24</v>
      </c>
      <c r="M35" s="13">
        <f t="shared" si="13"/>
        <v>8.7216579262658271</v>
      </c>
      <c r="N35" s="13">
        <f t="shared" si="13"/>
        <v>26.164973778797481</v>
      </c>
      <c r="O35" s="14">
        <f t="shared" si="0"/>
        <v>430.55918741382277</v>
      </c>
      <c r="P35" s="13">
        <v>3</v>
      </c>
      <c r="Q35" s="13"/>
      <c r="R35" t="s">
        <v>2</v>
      </c>
      <c r="S35" t="s">
        <v>6</v>
      </c>
      <c r="T35" t="s">
        <v>4</v>
      </c>
      <c r="W35">
        <v>0</v>
      </c>
      <c r="Y35">
        <v>1926</v>
      </c>
      <c r="Z35">
        <v>0.28000000000000003</v>
      </c>
      <c r="AA35" s="20">
        <v>41048</v>
      </c>
      <c r="AB35" s="21">
        <v>0.1232</v>
      </c>
      <c r="AC35" s="21"/>
      <c r="AE35" s="11" t="e">
        <f>O35*#REF!</f>
        <v>#REF!</v>
      </c>
      <c r="AF35" t="e">
        <f>IF(#REF! = "DOT",#REF!, 0) + IF(#REF! = "USCG",#REF!, 0)</f>
        <v>#REF!</v>
      </c>
      <c r="AG35" t="e">
        <f>IF(#REF! = "Yes",#REF!, 0) + IF(#REF! = "Yes",#REF!, 0)</f>
        <v>#REF!</v>
      </c>
      <c r="AH35" t="e">
        <f>P35*#REF!</f>
        <v>#REF!</v>
      </c>
      <c r="AI35" t="e">
        <f>Q35*#REF!</f>
        <v>#REF!</v>
      </c>
      <c r="AJ35">
        <f>IF(R35 = "Butane",#REF!, 0) + IF(R35 = "Avjet",#REF!, 0) + IF(R35 = "Avgas",#REF!, 0)</f>
        <v>0</v>
      </c>
      <c r="AK35" t="e">
        <f>IF(T35 = "Yes",#REF!, 0 )  +  IF(U35 = "Yes",#REF!, 0 )</f>
        <v>#REF!</v>
      </c>
      <c r="AM35" t="e">
        <f>P35*#REF!</f>
        <v>#REF!</v>
      </c>
      <c r="AN35">
        <v>1</v>
      </c>
      <c r="AP35" t="e">
        <f>W35*#REF!</f>
        <v>#REF!</v>
      </c>
      <c r="AQ35">
        <f>IF(X35 = "Hi Temp",#REF!, 0)</f>
        <v>0</v>
      </c>
      <c r="AR35" t="e">
        <f>(2013 - Y35)*#REF!</f>
        <v>#REF!</v>
      </c>
      <c r="AS35" s="11" t="e">
        <f>#REF! / 'RISK (2 old)'!Z35</f>
        <v>#REF!</v>
      </c>
      <c r="AT35" t="e">
        <f>(DATE(2013,6,1) - AA35) *#REF!</f>
        <v>#REF!</v>
      </c>
      <c r="AU35" t="e">
        <f>AB35*#REF!</f>
        <v>#REF!</v>
      </c>
      <c r="AW35">
        <f xml:space="preserve"> IF(AC35 = "", 1,#REF!)</f>
        <v>1</v>
      </c>
      <c r="AX35">
        <v>1</v>
      </c>
      <c r="AZ35" s="48" t="e">
        <f t="shared" si="1"/>
        <v>#REF!</v>
      </c>
      <c r="BA35" s="48" t="e">
        <f t="shared" si="2"/>
        <v>#REF!</v>
      </c>
      <c r="BB35" s="48" t="e">
        <f t="shared" si="3"/>
        <v>#REF!</v>
      </c>
    </row>
    <row r="36" spans="1:54" x14ac:dyDescent="0.2">
      <c r="B36" s="9" t="s">
        <v>48</v>
      </c>
      <c r="C36" s="2">
        <v>0</v>
      </c>
      <c r="D36" s="2">
        <v>0</v>
      </c>
      <c r="E36" s="12">
        <v>1000</v>
      </c>
      <c r="F36" s="5">
        <v>1500</v>
      </c>
      <c r="G36" s="12">
        <v>6</v>
      </c>
      <c r="H36" s="13">
        <f>H7</f>
        <v>331.6</v>
      </c>
      <c r="I36" s="2"/>
      <c r="J36" s="12">
        <v>8</v>
      </c>
      <c r="K36" s="5">
        <v>2</v>
      </c>
      <c r="L36" s="2">
        <v>24</v>
      </c>
      <c r="M36" s="13">
        <f t="shared" si="13"/>
        <v>12.799112802357159</v>
      </c>
      <c r="N36" s="13">
        <f t="shared" si="13"/>
        <v>19.198669203535736</v>
      </c>
      <c r="O36" s="14">
        <f t="shared" si="0"/>
        <v>340.81536121769716</v>
      </c>
      <c r="P36" s="13">
        <v>3</v>
      </c>
      <c r="Q36" s="13"/>
      <c r="R36" t="s">
        <v>49</v>
      </c>
      <c r="S36" t="s">
        <v>7</v>
      </c>
      <c r="T36" t="s">
        <v>4</v>
      </c>
      <c r="W36">
        <v>11</v>
      </c>
      <c r="X36" t="s">
        <v>18</v>
      </c>
      <c r="Y36">
        <v>1928</v>
      </c>
      <c r="Z36">
        <v>0.28000000000000003</v>
      </c>
      <c r="AA36" s="20">
        <v>41095</v>
      </c>
      <c r="AB36" s="21">
        <v>0.1116</v>
      </c>
      <c r="AC36" s="21"/>
      <c r="AE36" s="11" t="e">
        <f>O36*#REF!</f>
        <v>#REF!</v>
      </c>
      <c r="AF36" t="e">
        <f>IF(#REF! = "DOT",#REF!, 0) + IF(#REF! = "USCG",#REF!, 0)</f>
        <v>#REF!</v>
      </c>
      <c r="AG36" t="e">
        <f>IF(#REF! = "Yes",#REF!, 0) + IF(#REF! = "Yes",#REF!, 0)</f>
        <v>#REF!</v>
      </c>
      <c r="AH36" t="e">
        <f>P36*#REF!</f>
        <v>#REF!</v>
      </c>
      <c r="AI36" t="e">
        <f>Q36*#REF!</f>
        <v>#REF!</v>
      </c>
      <c r="AJ36">
        <f>IF(R36 = "Butane",#REF!, 0) + IF(R36 = "Avjet",#REF!, 0) + IF(R36 = "Avgas",#REF!, 0)</f>
        <v>0</v>
      </c>
      <c r="AK36" t="e">
        <f>IF(T36 = "Yes",#REF!, 0 )  +  IF(U36 = "Yes",#REF!, 0 )</f>
        <v>#REF!</v>
      </c>
      <c r="AM36" t="e">
        <f>P36*#REF!</f>
        <v>#REF!</v>
      </c>
      <c r="AN36">
        <v>1</v>
      </c>
      <c r="AP36" t="e">
        <f>W36*#REF!</f>
        <v>#REF!</v>
      </c>
      <c r="AQ36" t="e">
        <f>IF(X36 = "Hi Temp",#REF!, 0)</f>
        <v>#REF!</v>
      </c>
      <c r="AR36" t="e">
        <f>(2013 - Y36)*#REF!</f>
        <v>#REF!</v>
      </c>
      <c r="AS36" s="11" t="e">
        <f>#REF! / 'RISK (2 old)'!Z36</f>
        <v>#REF!</v>
      </c>
      <c r="AT36" t="e">
        <f>(DATE(2013,6,1) - AA36) *#REF!</f>
        <v>#REF!</v>
      </c>
      <c r="AU36" t="e">
        <f>AB36*#REF!</f>
        <v>#REF!</v>
      </c>
      <c r="AW36">
        <f xml:space="preserve"> IF(AC36 = "", 1,#REF!)</f>
        <v>1</v>
      </c>
      <c r="AX36">
        <v>1</v>
      </c>
      <c r="AZ36" s="48" t="e">
        <f t="shared" si="1"/>
        <v>#REF!</v>
      </c>
      <c r="BA36" s="48" t="e">
        <f t="shared" si="2"/>
        <v>#REF!</v>
      </c>
      <c r="BB36" s="48" t="e">
        <f t="shared" si="3"/>
        <v>#REF!</v>
      </c>
    </row>
    <row r="37" spans="1:54" s="43" customFormat="1" x14ac:dyDescent="0.25">
      <c r="A37" s="47"/>
      <c r="B37" s="38" t="s">
        <v>50</v>
      </c>
      <c r="C37" s="39">
        <v>0</v>
      </c>
      <c r="D37" s="39">
        <v>0</v>
      </c>
      <c r="E37" s="40" t="s">
        <v>39</v>
      </c>
      <c r="F37" s="41"/>
      <c r="G37" s="40">
        <v>4</v>
      </c>
      <c r="H37" s="42">
        <f>H30</f>
        <v>449.08062234794909</v>
      </c>
      <c r="I37" s="39"/>
      <c r="J37" s="40">
        <v>8</v>
      </c>
      <c r="K37" s="41">
        <v>2</v>
      </c>
      <c r="L37" s="39">
        <v>24</v>
      </c>
      <c r="M37" s="42">
        <v>0</v>
      </c>
      <c r="N37" s="42">
        <f t="shared" si="13"/>
        <v>0</v>
      </c>
      <c r="O37" s="42"/>
      <c r="P37" s="42">
        <v>1</v>
      </c>
      <c r="Q37" s="42"/>
      <c r="R37" s="43" t="s">
        <v>51</v>
      </c>
      <c r="S37" s="43" t="s">
        <v>7</v>
      </c>
      <c r="T37" s="43" t="s">
        <v>4</v>
      </c>
      <c r="Z37" s="43">
        <v>0.246</v>
      </c>
      <c r="AA37" s="44">
        <v>40666</v>
      </c>
      <c r="AB37" s="45">
        <v>0.59209999999999996</v>
      </c>
      <c r="AC37" s="45"/>
      <c r="AE37" s="46" t="e">
        <f>O37*#REF!</f>
        <v>#REF!</v>
      </c>
      <c r="AF37" s="43" t="e">
        <f>IF(#REF! = "DOT",#REF!, 0) + IF(#REF! = "USCG",#REF!, 0)</f>
        <v>#REF!</v>
      </c>
      <c r="AG37" s="43" t="e">
        <f>IF(#REF! = "Yes",#REF!, 0) + IF(#REF! = "Yes",#REF!, 0)</f>
        <v>#REF!</v>
      </c>
      <c r="AH37" s="43" t="e">
        <f>P37*#REF!</f>
        <v>#REF!</v>
      </c>
      <c r="AI37" s="43" t="e">
        <f>Q37*#REF!</f>
        <v>#REF!</v>
      </c>
      <c r="AJ37" s="43">
        <f>IF(R37 = "Butane",#REF!, 0) + IF(R37 = "Avjet",#REF!, 0) + IF(R37 = "Avgas",#REF!, 0)</f>
        <v>0</v>
      </c>
      <c r="AK37" s="43" t="e">
        <f>IF(T37 = "Yes",#REF!, 0 )  +  IF(U37 = "Yes",#REF!, 0 )</f>
        <v>#REF!</v>
      </c>
      <c r="AM37" s="43" t="e">
        <f>P37*#REF!</f>
        <v>#REF!</v>
      </c>
      <c r="AN37" s="43">
        <v>1</v>
      </c>
      <c r="AP37" s="43" t="e">
        <f>W37*#REF!</f>
        <v>#REF!</v>
      </c>
      <c r="AQ37" s="43">
        <f>IF(X37 = "Hi Temp",#REF!, 0)</f>
        <v>0</v>
      </c>
      <c r="AR37" s="43" t="e">
        <f>(2013 - Y37)*#REF!</f>
        <v>#REF!</v>
      </c>
      <c r="AS37" s="46" t="e">
        <f>#REF! / 'RISK (2 old)'!Z37</f>
        <v>#REF!</v>
      </c>
      <c r="AT37" s="43" t="e">
        <f>(DATE(2013,6,1) - AA37) *#REF!</f>
        <v>#REF!</v>
      </c>
      <c r="AU37" s="43" t="e">
        <f>AB37*#REF!</f>
        <v>#REF!</v>
      </c>
      <c r="AX37" s="43">
        <v>1</v>
      </c>
      <c r="AZ37" s="48"/>
      <c r="BA37" s="48"/>
    </row>
    <row r="38" spans="1:54" x14ac:dyDescent="0.25">
      <c r="B38" s="9" t="s">
        <v>52</v>
      </c>
      <c r="C38" s="2">
        <v>0</v>
      </c>
      <c r="D38" s="2">
        <v>0</v>
      </c>
      <c r="E38" s="12">
        <v>300</v>
      </c>
      <c r="F38" s="5">
        <v>650</v>
      </c>
      <c r="G38" s="12">
        <v>6</v>
      </c>
      <c r="H38" s="13">
        <v>558</v>
      </c>
      <c r="I38" s="2"/>
      <c r="J38" s="12">
        <v>6</v>
      </c>
      <c r="K38" s="5">
        <v>2</v>
      </c>
      <c r="L38" s="2">
        <v>24</v>
      </c>
      <c r="M38" s="13">
        <f t="shared" si="13"/>
        <v>2.6164973778797482</v>
      </c>
      <c r="N38" s="13">
        <f t="shared" si="13"/>
        <v>5.6690776520727875</v>
      </c>
      <c r="O38" s="14">
        <f t="shared" si="0"/>
        <v>560.7211572729949</v>
      </c>
      <c r="P38" s="13">
        <v>3</v>
      </c>
      <c r="Q38" s="13"/>
      <c r="R38" t="s">
        <v>53</v>
      </c>
      <c r="S38" t="s">
        <v>7</v>
      </c>
      <c r="T38" t="s">
        <v>4</v>
      </c>
      <c r="U38" t="s">
        <v>4</v>
      </c>
      <c r="W38">
        <v>0</v>
      </c>
      <c r="Y38">
        <v>1952</v>
      </c>
      <c r="Z38">
        <v>0.28000000000000003</v>
      </c>
      <c r="AA38" s="20">
        <v>40560</v>
      </c>
      <c r="AB38" s="21">
        <v>0.19719999999999999</v>
      </c>
      <c r="AC38" s="21"/>
      <c r="AE38" s="11" t="e">
        <f>O38*#REF!</f>
        <v>#REF!</v>
      </c>
      <c r="AF38" t="e">
        <f>IF(#REF! = "DOT",#REF!, 0) + IF(#REF! = "USCG",#REF!, 0)</f>
        <v>#REF!</v>
      </c>
      <c r="AG38" t="e">
        <f>IF(#REF! = "Yes",#REF!, 0) + IF(#REF! = "Yes",#REF!, 0)</f>
        <v>#REF!</v>
      </c>
      <c r="AH38" t="e">
        <f>P38*#REF!</f>
        <v>#REF!</v>
      </c>
      <c r="AI38" t="e">
        <f>Q38*#REF!</f>
        <v>#REF!</v>
      </c>
      <c r="AJ38">
        <f>IF(R38 = "Butane",#REF!, 0) + IF(R38 = "Avjet",#REF!, 0) + IF(R38 = "Avgas",#REF!, 0)</f>
        <v>0</v>
      </c>
      <c r="AK38" t="e">
        <f>IF(T38 = "Yes",#REF!, 0 )  +  IF(U38 = "Yes",#REF!, 0 )</f>
        <v>#REF!</v>
      </c>
      <c r="AM38" t="e">
        <f>P38*#REF!</f>
        <v>#REF!</v>
      </c>
      <c r="AN38">
        <v>1</v>
      </c>
      <c r="AP38" t="e">
        <f>W38*#REF!</f>
        <v>#REF!</v>
      </c>
      <c r="AQ38">
        <f>IF(X38 = "Hi Temp",#REF!, 0)</f>
        <v>0</v>
      </c>
      <c r="AR38" t="e">
        <f>(2013 - Y38)*#REF!</f>
        <v>#REF!</v>
      </c>
      <c r="AS38" s="11" t="e">
        <f>#REF! / 'RISK (2 old)'!Z38</f>
        <v>#REF!</v>
      </c>
      <c r="AT38" t="e">
        <f>(DATE(2013,6,1) - AA38) *#REF!</f>
        <v>#REF!</v>
      </c>
      <c r="AU38" t="e">
        <f>AB38*#REF!</f>
        <v>#REF!</v>
      </c>
      <c r="AW38">
        <f xml:space="preserve"> IF(AC38 = "", 1,#REF!)</f>
        <v>1</v>
      </c>
      <c r="AX38">
        <v>1</v>
      </c>
      <c r="AZ38" s="48" t="e">
        <f t="shared" si="1"/>
        <v>#REF!</v>
      </c>
      <c r="BA38" s="48" t="e">
        <f t="shared" si="2"/>
        <v>#REF!</v>
      </c>
      <c r="BB38" s="48" t="e">
        <f t="shared" si="3"/>
        <v>#REF!</v>
      </c>
    </row>
    <row r="39" spans="1:54" x14ac:dyDescent="0.25">
      <c r="B39" s="9" t="s">
        <v>54</v>
      </c>
      <c r="C39" s="2">
        <v>0</v>
      </c>
      <c r="D39" s="2">
        <v>0</v>
      </c>
      <c r="E39" s="12">
        <v>1000</v>
      </c>
      <c r="F39" s="5">
        <v>1500</v>
      </c>
      <c r="G39" s="12">
        <v>8</v>
      </c>
      <c r="H39" s="13">
        <v>635</v>
      </c>
      <c r="I39" s="2"/>
      <c r="J39" s="12">
        <v>8</v>
      </c>
      <c r="K39" s="5">
        <v>2</v>
      </c>
      <c r="L39" s="2">
        <v>24</v>
      </c>
      <c r="M39" s="13">
        <f t="shared" si="13"/>
        <v>12.799112802357159</v>
      </c>
      <c r="N39" s="13">
        <f t="shared" si="13"/>
        <v>19.198669203535736</v>
      </c>
      <c r="O39" s="14">
        <f t="shared" si="0"/>
        <v>644.21536121769714</v>
      </c>
      <c r="P39" s="13">
        <v>1</v>
      </c>
      <c r="Q39" s="13"/>
      <c r="R39" t="s">
        <v>55</v>
      </c>
      <c r="S39" t="s">
        <v>7</v>
      </c>
      <c r="T39" t="s">
        <v>4</v>
      </c>
      <c r="U39" t="s">
        <v>4</v>
      </c>
      <c r="W39">
        <v>3</v>
      </c>
      <c r="X39" t="s">
        <v>18</v>
      </c>
      <c r="Y39">
        <v>1928</v>
      </c>
      <c r="Z39">
        <v>0.246</v>
      </c>
      <c r="AA39" s="20">
        <v>40358</v>
      </c>
      <c r="AB39" s="21">
        <v>0.18260000000000001</v>
      </c>
      <c r="AC39" s="21"/>
      <c r="AE39" s="11" t="e">
        <f>O39*#REF!</f>
        <v>#REF!</v>
      </c>
      <c r="AF39" t="e">
        <f>IF(#REF! = "DOT",#REF!, 0) + IF(#REF! = "USCG",#REF!, 0)</f>
        <v>#REF!</v>
      </c>
      <c r="AG39" t="e">
        <f>IF(#REF! = "Yes",#REF!, 0) + IF(#REF! = "Yes",#REF!, 0)</f>
        <v>#REF!</v>
      </c>
      <c r="AH39" t="e">
        <f>P39*#REF!</f>
        <v>#REF!</v>
      </c>
      <c r="AI39" t="e">
        <f>Q39*#REF!</f>
        <v>#REF!</v>
      </c>
      <c r="AJ39">
        <f>IF(R39 = "Butane",#REF!, 0) + IF(R39 = "Avjet",#REF!, 0) + IF(R39 = "Avgas",#REF!, 0)</f>
        <v>0</v>
      </c>
      <c r="AK39" t="e">
        <f>IF(T39 = "Yes",#REF!, 0 )  +  IF(U39 = "Yes",#REF!, 0 )</f>
        <v>#REF!</v>
      </c>
      <c r="AM39" t="e">
        <f>P39*#REF!</f>
        <v>#REF!</v>
      </c>
      <c r="AN39">
        <v>1</v>
      </c>
      <c r="AP39" t="e">
        <f>W39*#REF!</f>
        <v>#REF!</v>
      </c>
      <c r="AQ39" t="e">
        <f>IF(X39 = "Hi Temp",#REF!, 0)</f>
        <v>#REF!</v>
      </c>
      <c r="AR39" t="e">
        <f>(2013 - Y39)*#REF!</f>
        <v>#REF!</v>
      </c>
      <c r="AS39" s="11" t="e">
        <f>#REF! / 'RISK (2 old)'!Z39</f>
        <v>#REF!</v>
      </c>
      <c r="AT39" t="e">
        <f>(DATE(2013,6,1) - AA39) *#REF!</f>
        <v>#REF!</v>
      </c>
      <c r="AU39" t="e">
        <f>AB39*#REF!</f>
        <v>#REF!</v>
      </c>
      <c r="AW39">
        <f xml:space="preserve"> IF(AC39 = "", 1,#REF!)</f>
        <v>1</v>
      </c>
      <c r="AX39">
        <v>1</v>
      </c>
      <c r="AZ39" s="48" t="e">
        <f t="shared" si="1"/>
        <v>#REF!</v>
      </c>
      <c r="BA39" s="48" t="e">
        <f t="shared" si="2"/>
        <v>#REF!</v>
      </c>
      <c r="BB39" s="48" t="e">
        <f t="shared" si="3"/>
        <v>#REF!</v>
      </c>
    </row>
    <row r="40" spans="1:54" x14ac:dyDescent="0.25">
      <c r="B40" s="9" t="s">
        <v>56</v>
      </c>
      <c r="C40" s="2">
        <v>0</v>
      </c>
      <c r="D40" s="2">
        <v>0</v>
      </c>
      <c r="E40" s="12">
        <v>2000</v>
      </c>
      <c r="F40" s="5">
        <v>4000</v>
      </c>
      <c r="G40" s="12">
        <v>6</v>
      </c>
      <c r="H40" s="13">
        <v>558</v>
      </c>
      <c r="I40" s="2"/>
      <c r="J40" s="12">
        <v>8</v>
      </c>
      <c r="K40" s="5">
        <v>2</v>
      </c>
      <c r="L40" s="2">
        <v>24</v>
      </c>
      <c r="M40" s="13">
        <f t="shared" si="13"/>
        <v>25.598225604714319</v>
      </c>
      <c r="N40" s="13">
        <f t="shared" si="13"/>
        <v>51.196451209428638</v>
      </c>
      <c r="O40" s="14">
        <f t="shared" si="0"/>
        <v>582.5742965805257</v>
      </c>
      <c r="P40" s="13">
        <v>3</v>
      </c>
      <c r="Q40" s="13"/>
      <c r="R40" t="s">
        <v>57</v>
      </c>
      <c r="S40" t="s">
        <v>7</v>
      </c>
      <c r="T40" t="s">
        <v>4</v>
      </c>
      <c r="W40">
        <v>0</v>
      </c>
      <c r="Y40">
        <v>1930</v>
      </c>
      <c r="Z40">
        <v>0.23499999999999999</v>
      </c>
      <c r="AA40" s="20">
        <v>40556</v>
      </c>
      <c r="AB40" s="21">
        <v>0.19719999999999999</v>
      </c>
      <c r="AC40" s="21"/>
      <c r="AE40" s="11" t="e">
        <f>O40*#REF!</f>
        <v>#REF!</v>
      </c>
      <c r="AF40" t="e">
        <f>IF(#REF! = "DOT",#REF!, 0) + IF(#REF! = "USCG",#REF!, 0)</f>
        <v>#REF!</v>
      </c>
      <c r="AG40" t="e">
        <f>IF(#REF! = "Yes",#REF!, 0) + IF(#REF! = "Yes",#REF!, 0)</f>
        <v>#REF!</v>
      </c>
      <c r="AH40" t="e">
        <f>P40*#REF!</f>
        <v>#REF!</v>
      </c>
      <c r="AI40" t="e">
        <f>Q40*#REF!</f>
        <v>#REF!</v>
      </c>
      <c r="AJ40">
        <f>IF(R40 = "Butane",#REF!, 0) + IF(R40 = "Avjet",#REF!, 0) + IF(R40 = "Avgas",#REF!, 0)</f>
        <v>0</v>
      </c>
      <c r="AK40" t="e">
        <f>IF(T40 = "Yes",#REF!, 0 )  +  IF(U40 = "Yes",#REF!, 0 )</f>
        <v>#REF!</v>
      </c>
      <c r="AM40" t="e">
        <f>P40*#REF!</f>
        <v>#REF!</v>
      </c>
      <c r="AN40">
        <v>1</v>
      </c>
      <c r="AP40" t="e">
        <f>W40*#REF!</f>
        <v>#REF!</v>
      </c>
      <c r="AQ40">
        <f>IF(X40 = "Hi Temp",#REF!, 0)</f>
        <v>0</v>
      </c>
      <c r="AR40" t="e">
        <f>(2013 - Y40)*#REF!</f>
        <v>#REF!</v>
      </c>
      <c r="AS40" s="11" t="e">
        <f>#REF! / 'RISK (2 old)'!Z40</f>
        <v>#REF!</v>
      </c>
      <c r="AT40" t="e">
        <f>(DATE(2013,6,1) - AA40) *#REF!</f>
        <v>#REF!</v>
      </c>
      <c r="AU40" t="e">
        <f>AB40*#REF!</f>
        <v>#REF!</v>
      </c>
      <c r="AW40">
        <f xml:space="preserve"> IF(AC40 = "", 1,#REF!)</f>
        <v>1</v>
      </c>
      <c r="AX40">
        <v>1</v>
      </c>
      <c r="AZ40" s="48" t="e">
        <f t="shared" si="1"/>
        <v>#REF!</v>
      </c>
      <c r="BA40" s="48" t="e">
        <f t="shared" si="2"/>
        <v>#REF!</v>
      </c>
      <c r="BB40" s="48" t="e">
        <f t="shared" si="3"/>
        <v>#REF!</v>
      </c>
    </row>
    <row r="41" spans="1:54" x14ac:dyDescent="0.25">
      <c r="B41" s="9" t="s">
        <v>58</v>
      </c>
      <c r="C41" s="2">
        <v>0</v>
      </c>
      <c r="D41" s="2">
        <v>0</v>
      </c>
      <c r="E41" s="12">
        <v>1000</v>
      </c>
      <c r="F41" s="5">
        <v>3000</v>
      </c>
      <c r="G41" s="12">
        <v>8</v>
      </c>
      <c r="H41" s="13">
        <v>635</v>
      </c>
      <c r="I41" s="2"/>
      <c r="J41" s="12">
        <v>8</v>
      </c>
      <c r="K41" s="5">
        <v>2</v>
      </c>
      <c r="L41" s="2">
        <v>24</v>
      </c>
      <c r="M41" s="13">
        <f t="shared" si="13"/>
        <v>12.799112802357159</v>
      </c>
      <c r="N41" s="13">
        <f t="shared" si="13"/>
        <v>38.397338407071473</v>
      </c>
      <c r="O41" s="14">
        <f t="shared" si="0"/>
        <v>653.43072243539427</v>
      </c>
      <c r="P41" s="13">
        <v>1</v>
      </c>
      <c r="Q41" s="13"/>
      <c r="R41" t="s">
        <v>17</v>
      </c>
      <c r="S41" t="s">
        <v>7</v>
      </c>
      <c r="T41" t="s">
        <v>4</v>
      </c>
      <c r="W41">
        <v>1</v>
      </c>
      <c r="X41" t="s">
        <v>18</v>
      </c>
      <c r="Y41">
        <v>1970</v>
      </c>
      <c r="Z41">
        <v>0.23499999999999999</v>
      </c>
      <c r="AA41" s="20">
        <v>40281</v>
      </c>
      <c r="AB41" s="21">
        <v>0.19120000000000001</v>
      </c>
      <c r="AC41" s="21"/>
      <c r="AE41" s="11" t="e">
        <f>O41*#REF!</f>
        <v>#REF!</v>
      </c>
      <c r="AF41" t="e">
        <f>IF(#REF! = "DOT",#REF!, 0) + IF(#REF! = "USCG",#REF!, 0)</f>
        <v>#REF!</v>
      </c>
      <c r="AG41" t="e">
        <f>IF(#REF! = "Yes",#REF!, 0) + IF(#REF! = "Yes",#REF!, 0)</f>
        <v>#REF!</v>
      </c>
      <c r="AH41" t="e">
        <f>P41*#REF!</f>
        <v>#REF!</v>
      </c>
      <c r="AI41" t="e">
        <f>Q41*#REF!</f>
        <v>#REF!</v>
      </c>
      <c r="AJ41">
        <f>IF(R41 = "Butane",#REF!, 0) + IF(R41 = "Avjet",#REF!, 0) + IF(R41 = "Avgas",#REF!, 0)</f>
        <v>0</v>
      </c>
      <c r="AK41" t="e">
        <f>IF(T41 = "Yes",#REF!, 0 )  +  IF(U41 = "Yes",#REF!, 0 )</f>
        <v>#REF!</v>
      </c>
      <c r="AM41" t="e">
        <f>P41*#REF!</f>
        <v>#REF!</v>
      </c>
      <c r="AN41">
        <v>1</v>
      </c>
      <c r="AP41" t="e">
        <f>W41*#REF!</f>
        <v>#REF!</v>
      </c>
      <c r="AQ41" t="e">
        <f>IF(X41 = "Hi Temp",#REF!, 0)</f>
        <v>#REF!</v>
      </c>
      <c r="AR41" t="e">
        <f>(2013 - Y41)*#REF!</f>
        <v>#REF!</v>
      </c>
      <c r="AS41" s="11" t="e">
        <f>#REF! / 'RISK (2 old)'!Z41</f>
        <v>#REF!</v>
      </c>
      <c r="AT41" t="e">
        <f>(DATE(2013,6,1) - AA41) *#REF!</f>
        <v>#REF!</v>
      </c>
      <c r="AU41" t="e">
        <f>AB41*#REF!</f>
        <v>#REF!</v>
      </c>
      <c r="AW41">
        <f xml:space="preserve"> IF(AC41 = "", 1,#REF!)</f>
        <v>1</v>
      </c>
      <c r="AX41">
        <v>1</v>
      </c>
      <c r="AZ41" s="48" t="e">
        <f t="shared" si="1"/>
        <v>#REF!</v>
      </c>
      <c r="BA41" s="48" t="e">
        <f t="shared" si="2"/>
        <v>#REF!</v>
      </c>
      <c r="BB41" s="48" t="e">
        <f t="shared" si="3"/>
        <v>#REF!</v>
      </c>
    </row>
    <row r="42" spans="1:54" s="43" customFormat="1" x14ac:dyDescent="0.25">
      <c r="A42" s="47"/>
      <c r="B42" s="38" t="s">
        <v>59</v>
      </c>
      <c r="C42" s="39">
        <v>0</v>
      </c>
      <c r="D42" s="39">
        <v>0</v>
      </c>
      <c r="E42" s="40" t="s">
        <v>24</v>
      </c>
      <c r="F42" s="41"/>
      <c r="G42" s="40">
        <v>10</v>
      </c>
      <c r="H42" s="42">
        <v>1130</v>
      </c>
      <c r="I42" s="39"/>
      <c r="J42" s="40">
        <v>8</v>
      </c>
      <c r="K42" s="41">
        <v>2</v>
      </c>
      <c r="L42" s="39">
        <v>24</v>
      </c>
      <c r="M42" s="42">
        <v>0</v>
      </c>
      <c r="N42" s="42">
        <f t="shared" si="13"/>
        <v>0</v>
      </c>
      <c r="O42" s="42"/>
      <c r="P42" s="42">
        <v>6</v>
      </c>
      <c r="Q42" s="42">
        <v>1</v>
      </c>
      <c r="R42" s="43" t="s">
        <v>24</v>
      </c>
      <c r="T42" s="43" t="s">
        <v>4</v>
      </c>
      <c r="Z42" s="43">
        <v>0.32200000000000001</v>
      </c>
      <c r="AA42" s="44"/>
      <c r="AB42" s="45">
        <v>0.13389999999999999</v>
      </c>
      <c r="AC42" s="45"/>
      <c r="AE42" s="46" t="e">
        <f>O42*#REF!</f>
        <v>#REF!</v>
      </c>
      <c r="AF42" s="43" t="e">
        <f>IF(#REF! = "DOT",#REF!, 0) + IF(#REF! = "USCG",#REF!, 0)</f>
        <v>#REF!</v>
      </c>
      <c r="AG42" s="43" t="e">
        <f>IF(#REF! = "Yes",#REF!, 0) + IF(#REF! = "Yes",#REF!, 0)</f>
        <v>#REF!</v>
      </c>
      <c r="AH42" s="43" t="e">
        <f>P42*#REF!</f>
        <v>#REF!</v>
      </c>
      <c r="AI42" s="43" t="e">
        <f>Q42*#REF!</f>
        <v>#REF!</v>
      </c>
      <c r="AJ42" s="43">
        <f>IF(R42 = "Butane",#REF!, 0) + IF(R42 = "Avjet",#REF!, 0) + IF(R42 = "Avgas",#REF!, 0)</f>
        <v>0</v>
      </c>
      <c r="AK42" s="43" t="e">
        <f>IF(T42 = "Yes",#REF!, 0 )  +  IF(U42 = "Yes",#REF!, 0 )</f>
        <v>#REF!</v>
      </c>
      <c r="AM42" s="43" t="e">
        <f>P42*#REF!</f>
        <v>#REF!</v>
      </c>
      <c r="AN42" s="43">
        <v>1</v>
      </c>
      <c r="AP42" s="43" t="e">
        <f>W42*#REF!</f>
        <v>#REF!</v>
      </c>
      <c r="AQ42" s="43">
        <f>IF(X42 = "Hi Temp",#REF!, 0)</f>
        <v>0</v>
      </c>
      <c r="AR42" s="43" t="e">
        <f>(2013 - Y42)*#REF!</f>
        <v>#REF!</v>
      </c>
      <c r="AS42" s="46" t="e">
        <f>#REF! / 'RISK (2 old)'!Z42</f>
        <v>#REF!</v>
      </c>
      <c r="AT42" s="43" t="e">
        <f>(DATE(2013,6,1) - AA42) *#REF!</f>
        <v>#REF!</v>
      </c>
      <c r="AU42" s="43" t="e">
        <f>AB42*#REF!</f>
        <v>#REF!</v>
      </c>
      <c r="AX42" s="43">
        <v>1</v>
      </c>
      <c r="AZ42" s="48"/>
      <c r="BA42" s="48"/>
    </row>
    <row r="43" spans="1:54" x14ac:dyDescent="0.25">
      <c r="B43" s="9" t="s">
        <v>60</v>
      </c>
      <c r="C43" s="2">
        <v>0</v>
      </c>
      <c r="D43" s="2">
        <v>0</v>
      </c>
      <c r="E43" s="12">
        <v>1000</v>
      </c>
      <c r="F43" s="5">
        <v>1500</v>
      </c>
      <c r="G43" s="12">
        <v>8</v>
      </c>
      <c r="H43" s="13">
        <f>H41</f>
        <v>635</v>
      </c>
      <c r="I43" s="2"/>
      <c r="J43" s="12">
        <v>8</v>
      </c>
      <c r="K43" s="5">
        <v>2</v>
      </c>
      <c r="L43" s="2">
        <v>24</v>
      </c>
      <c r="M43" s="13">
        <f t="shared" si="13"/>
        <v>12.799112802357159</v>
      </c>
      <c r="N43" s="13">
        <f t="shared" si="13"/>
        <v>19.198669203535736</v>
      </c>
      <c r="O43" s="14">
        <f t="shared" si="0"/>
        <v>644.21536121769714</v>
      </c>
      <c r="P43" s="13">
        <v>3</v>
      </c>
      <c r="Q43" s="13"/>
      <c r="R43" t="s">
        <v>61</v>
      </c>
      <c r="T43" t="s">
        <v>4</v>
      </c>
      <c r="W43">
        <v>3</v>
      </c>
      <c r="Y43">
        <v>1975</v>
      </c>
      <c r="Z43">
        <v>0.2</v>
      </c>
      <c r="AA43" s="20">
        <v>39680</v>
      </c>
      <c r="AB43" s="21">
        <v>0.22459999999999999</v>
      </c>
      <c r="AC43" s="21"/>
      <c r="AE43" s="11" t="e">
        <f>O43*#REF!</f>
        <v>#REF!</v>
      </c>
      <c r="AF43" t="e">
        <f>IF(#REF! = "DOT",#REF!, 0) + IF(#REF! = "USCG",#REF!, 0)</f>
        <v>#REF!</v>
      </c>
      <c r="AG43" t="e">
        <f>IF(#REF! = "Yes",#REF!, 0) + IF(#REF! = "Yes",#REF!, 0)</f>
        <v>#REF!</v>
      </c>
      <c r="AH43" t="e">
        <f>P43*#REF!</f>
        <v>#REF!</v>
      </c>
      <c r="AI43" t="e">
        <f>Q43*#REF!</f>
        <v>#REF!</v>
      </c>
      <c r="AJ43">
        <f>IF(R43 = "Butane",#REF!, 0) + IF(R43 = "Avjet",#REF!, 0) + IF(R43 = "Avgas",#REF!, 0)</f>
        <v>0</v>
      </c>
      <c r="AK43" t="e">
        <f>IF(T43 = "Yes",#REF!, 0 )  +  IF(U43 = "Yes",#REF!, 0 )</f>
        <v>#REF!</v>
      </c>
      <c r="AM43" t="e">
        <f>P43*#REF!</f>
        <v>#REF!</v>
      </c>
      <c r="AN43">
        <v>1</v>
      </c>
      <c r="AP43" t="e">
        <f>W43*#REF!</f>
        <v>#REF!</v>
      </c>
      <c r="AQ43">
        <f>IF(X43 = "Hi Temp",#REF!, 0)</f>
        <v>0</v>
      </c>
      <c r="AR43" t="e">
        <f>(2013 - Y43)*#REF!</f>
        <v>#REF!</v>
      </c>
      <c r="AS43" s="11" t="e">
        <f>#REF! / 'RISK (2 old)'!Z43</f>
        <v>#REF!</v>
      </c>
      <c r="AT43" t="e">
        <f>(DATE(2013,6,1) - AA43) *#REF!</f>
        <v>#REF!</v>
      </c>
      <c r="AU43" t="e">
        <f>AB43*#REF!</f>
        <v>#REF!</v>
      </c>
      <c r="AW43">
        <f xml:space="preserve"> IF(AC43 = "", 1,#REF!)</f>
        <v>1</v>
      </c>
      <c r="AX43">
        <v>1</v>
      </c>
      <c r="AZ43" s="48" t="e">
        <f t="shared" si="1"/>
        <v>#REF!</v>
      </c>
      <c r="BA43" s="48" t="e">
        <f t="shared" si="2"/>
        <v>#REF!</v>
      </c>
      <c r="BB43" s="48" t="e">
        <f t="shared" si="3"/>
        <v>#REF!</v>
      </c>
    </row>
    <row r="44" spans="1:54" x14ac:dyDescent="0.25">
      <c r="B44" s="9" t="s">
        <v>62</v>
      </c>
      <c r="C44" s="2">
        <v>0</v>
      </c>
      <c r="D44" s="2">
        <v>0</v>
      </c>
      <c r="E44" s="52">
        <v>0</v>
      </c>
      <c r="F44" s="53">
        <v>0</v>
      </c>
      <c r="G44" s="12">
        <v>10</v>
      </c>
      <c r="H44" s="54">
        <v>0</v>
      </c>
      <c r="I44" s="2"/>
      <c r="J44" s="12">
        <v>10</v>
      </c>
      <c r="K44" s="5">
        <v>2</v>
      </c>
      <c r="L44" s="2">
        <v>24</v>
      </c>
      <c r="M44" s="13">
        <f t="shared" si="13"/>
        <v>0</v>
      </c>
      <c r="N44" s="13">
        <f t="shared" si="13"/>
        <v>0</v>
      </c>
      <c r="O44" s="14">
        <f t="shared" si="0"/>
        <v>0</v>
      </c>
      <c r="P44" s="13">
        <v>6</v>
      </c>
      <c r="Q44" s="13">
        <v>1</v>
      </c>
      <c r="R44" t="s">
        <v>32</v>
      </c>
      <c r="S44" t="s">
        <v>7</v>
      </c>
      <c r="T44" t="s">
        <v>4</v>
      </c>
      <c r="X44" t="s">
        <v>18</v>
      </c>
      <c r="Y44">
        <v>1938</v>
      </c>
      <c r="Z44">
        <v>0.36499999999999999</v>
      </c>
      <c r="AA44" s="20">
        <v>41169</v>
      </c>
      <c r="AB44" s="21">
        <v>0.1749</v>
      </c>
      <c r="AC44" s="21"/>
      <c r="AE44" s="11" t="e">
        <f>O44*#REF!</f>
        <v>#REF!</v>
      </c>
      <c r="AF44" t="e">
        <f>IF(#REF! = "DOT",#REF!, 0) + IF(#REF! = "USCG",#REF!, 0)</f>
        <v>#REF!</v>
      </c>
      <c r="AG44" t="e">
        <f>IF(#REF! = "Yes",#REF!, 0) + IF(#REF! = "Yes",#REF!, 0)</f>
        <v>#REF!</v>
      </c>
      <c r="AH44" t="e">
        <f>P44*#REF!</f>
        <v>#REF!</v>
      </c>
      <c r="AI44" t="e">
        <f>Q44*#REF!</f>
        <v>#REF!</v>
      </c>
      <c r="AJ44">
        <f>IF(R44 = "Butane",#REF!, 0) + IF(R44 = "Avjet",#REF!, 0) + IF(R44 = "Avgas",#REF!, 0)</f>
        <v>0</v>
      </c>
      <c r="AK44" t="e">
        <f>IF(T44 = "Yes",#REF!, 0 )  +  IF(U44 = "Yes",#REF!, 0 )</f>
        <v>#REF!</v>
      </c>
      <c r="AM44" t="e">
        <f>P44*#REF!</f>
        <v>#REF!</v>
      </c>
      <c r="AN44">
        <v>1</v>
      </c>
      <c r="AP44" t="e">
        <f>W44*#REF!</f>
        <v>#REF!</v>
      </c>
      <c r="AQ44" t="e">
        <f>IF(X44 = "Hi Temp",#REF!, 0)</f>
        <v>#REF!</v>
      </c>
      <c r="AR44" t="e">
        <f>(2013 - Y44)*#REF!</f>
        <v>#REF!</v>
      </c>
      <c r="AS44" s="11" t="e">
        <f>#REF! / 'RISK (2 old)'!Z44</f>
        <v>#REF!</v>
      </c>
      <c r="AT44" t="e">
        <f>(DATE(2013,6,1) - AA44) *#REF!</f>
        <v>#REF!</v>
      </c>
      <c r="AU44" t="e">
        <f>AB44*#REF!</f>
        <v>#REF!</v>
      </c>
      <c r="AV44" t="e">
        <f>2 *#REF!</f>
        <v>#REF!</v>
      </c>
      <c r="AW44">
        <f xml:space="preserve"> IF(AC44 = "", 1,#REF!)</f>
        <v>1</v>
      </c>
      <c r="AX44">
        <v>1</v>
      </c>
      <c r="AZ44" s="48" t="e">
        <f t="shared" si="1"/>
        <v>#REF!</v>
      </c>
      <c r="BA44" s="48" t="e">
        <f t="shared" si="2"/>
        <v>#REF!</v>
      </c>
      <c r="BB44" s="48" t="e">
        <f t="shared" si="3"/>
        <v>#REF!</v>
      </c>
    </row>
    <row r="45" spans="1:54" x14ac:dyDescent="0.25">
      <c r="B45" s="9" t="s">
        <v>63</v>
      </c>
      <c r="C45" s="2">
        <v>0</v>
      </c>
      <c r="D45" s="2">
        <v>0</v>
      </c>
      <c r="E45" s="12">
        <v>300</v>
      </c>
      <c r="F45" s="5">
        <v>650</v>
      </c>
      <c r="G45" s="12">
        <v>8</v>
      </c>
      <c r="H45" s="13">
        <v>2116</v>
      </c>
      <c r="I45" s="2"/>
      <c r="J45" s="12">
        <v>8</v>
      </c>
      <c r="K45" s="5">
        <v>2</v>
      </c>
      <c r="L45" s="2">
        <v>24</v>
      </c>
      <c r="M45" s="13">
        <f t="shared" si="13"/>
        <v>3.8397338407071482</v>
      </c>
      <c r="N45" s="13">
        <f t="shared" si="13"/>
        <v>8.3194233215321542</v>
      </c>
      <c r="O45" s="14">
        <f t="shared" si="0"/>
        <v>2119.9933231943355</v>
      </c>
      <c r="P45" s="13">
        <v>3</v>
      </c>
      <c r="Q45" s="13"/>
      <c r="R45" t="s">
        <v>57</v>
      </c>
      <c r="S45" t="s">
        <v>7</v>
      </c>
      <c r="T45" t="s">
        <v>4</v>
      </c>
      <c r="U45" t="s">
        <v>4</v>
      </c>
      <c r="W45" s="56">
        <v>0</v>
      </c>
      <c r="Y45">
        <v>1947</v>
      </c>
      <c r="Z45">
        <v>0.32200000000000001</v>
      </c>
      <c r="AA45" s="20">
        <v>40571</v>
      </c>
      <c r="AB45" s="55">
        <v>0.15</v>
      </c>
      <c r="AC45" s="21"/>
      <c r="AE45" s="11" t="e">
        <f>O45*#REF!</f>
        <v>#REF!</v>
      </c>
      <c r="AF45" t="e">
        <f>IF(#REF! = "DOT",#REF!, 0) + IF(#REF! = "USCG",#REF!, 0)</f>
        <v>#REF!</v>
      </c>
      <c r="AG45" t="e">
        <f>IF(#REF! = "Yes",#REF!, 0) + IF(#REF! = "Yes",#REF!, 0)</f>
        <v>#REF!</v>
      </c>
      <c r="AH45" t="e">
        <f>P45*#REF!</f>
        <v>#REF!</v>
      </c>
      <c r="AI45" t="e">
        <f>Q45*#REF!</f>
        <v>#REF!</v>
      </c>
      <c r="AJ45">
        <f>IF(R45 = "Butane",#REF!, 0) + IF(R45 = "Avjet",#REF!, 0) + IF(R45 = "Avgas",#REF!, 0)</f>
        <v>0</v>
      </c>
      <c r="AK45" t="e">
        <f>IF(T45 = "Yes",#REF!, 0 )  +  IF(U45 = "Yes",#REF!, 0 )</f>
        <v>#REF!</v>
      </c>
      <c r="AM45" t="e">
        <f>P45*#REF!</f>
        <v>#REF!</v>
      </c>
      <c r="AN45">
        <v>1</v>
      </c>
      <c r="AP45" t="e">
        <f>W45*#REF!</f>
        <v>#REF!</v>
      </c>
      <c r="AQ45">
        <f>IF(X45 = "Hi Temp",#REF!, 0)</f>
        <v>0</v>
      </c>
      <c r="AR45" t="e">
        <f>(2013 - Y45)*#REF!</f>
        <v>#REF!</v>
      </c>
      <c r="AS45" s="11" t="e">
        <f>#REF! / 'RISK (2 old)'!Z45</f>
        <v>#REF!</v>
      </c>
      <c r="AT45" t="e">
        <f>(DATE(2013,6,1) - AA45) *#REF!</f>
        <v>#REF!</v>
      </c>
      <c r="AU45">
        <v>0</v>
      </c>
      <c r="AW45">
        <f xml:space="preserve"> IF(AC45 = "", 1,#REF!)</f>
        <v>1</v>
      </c>
      <c r="AX45">
        <v>1</v>
      </c>
      <c r="AZ45" s="48" t="e">
        <f t="shared" si="1"/>
        <v>#REF!</v>
      </c>
      <c r="BA45" s="48" t="e">
        <f t="shared" si="2"/>
        <v>#REF!</v>
      </c>
      <c r="BB45" s="48" t="e">
        <f t="shared" si="3"/>
        <v>#REF!</v>
      </c>
    </row>
    <row r="46" spans="1:54" x14ac:dyDescent="0.25">
      <c r="B46" s="9" t="s">
        <v>64</v>
      </c>
      <c r="C46" s="2">
        <v>0</v>
      </c>
      <c r="D46" s="2">
        <v>0</v>
      </c>
      <c r="E46" s="12">
        <v>3500</v>
      </c>
      <c r="F46" s="5">
        <v>5000</v>
      </c>
      <c r="G46" s="12">
        <v>12</v>
      </c>
      <c r="H46" s="13">
        <v>2359</v>
      </c>
      <c r="I46" s="2"/>
      <c r="J46" s="12">
        <v>12</v>
      </c>
      <c r="K46" s="5">
        <v>2</v>
      </c>
      <c r="L46" s="2">
        <v>24</v>
      </c>
      <c r="M46" s="13">
        <f t="shared" si="13"/>
        <v>76.918425665466316</v>
      </c>
      <c r="N46" s="13">
        <f t="shared" si="13"/>
        <v>109.88346523638045</v>
      </c>
      <c r="O46" s="14">
        <f t="shared" si="0"/>
        <v>2411.7440633134624</v>
      </c>
      <c r="P46" s="13">
        <v>3</v>
      </c>
      <c r="Q46" s="13"/>
      <c r="R46" t="s">
        <v>2</v>
      </c>
      <c r="S46" t="s">
        <v>6</v>
      </c>
      <c r="T46" t="s">
        <v>4</v>
      </c>
      <c r="W46" s="56">
        <v>0</v>
      </c>
      <c r="Y46">
        <v>1957</v>
      </c>
      <c r="Z46">
        <v>0.375</v>
      </c>
      <c r="AA46" s="20">
        <v>41040</v>
      </c>
      <c r="AB46" s="21">
        <v>0.17710000000000001</v>
      </c>
      <c r="AC46" s="21"/>
      <c r="AE46" s="11" t="e">
        <f>O46*#REF!</f>
        <v>#REF!</v>
      </c>
      <c r="AF46" t="e">
        <f>IF(#REF! = "DOT",#REF!, 0) + IF(#REF! = "USCG",#REF!, 0)</f>
        <v>#REF!</v>
      </c>
      <c r="AG46" t="e">
        <f>IF(#REF! = "Yes",#REF!, 0) + IF(#REF! = "Yes",#REF!, 0)</f>
        <v>#REF!</v>
      </c>
      <c r="AH46" t="e">
        <f>P46*#REF!</f>
        <v>#REF!</v>
      </c>
      <c r="AI46" t="e">
        <f>Q46*#REF!</f>
        <v>#REF!</v>
      </c>
      <c r="AJ46">
        <f>IF(R46 = "Butane",#REF!, 0) + IF(R46 = "Avjet",#REF!, 0) + IF(R46 = "Avgas",#REF!, 0)</f>
        <v>0</v>
      </c>
      <c r="AK46" t="e">
        <f>IF(T46 = "Yes",#REF!, 0 )  +  IF(U46 = "Yes",#REF!, 0 )</f>
        <v>#REF!</v>
      </c>
      <c r="AM46" t="e">
        <f>P46*#REF!</f>
        <v>#REF!</v>
      </c>
      <c r="AN46">
        <v>1</v>
      </c>
      <c r="AP46" t="e">
        <f>W46*#REF!</f>
        <v>#REF!</v>
      </c>
      <c r="AQ46">
        <f>IF(X46 = "Hi Temp",#REF!, 0)</f>
        <v>0</v>
      </c>
      <c r="AR46" t="e">
        <f>(2013 - Y46)*#REF!</f>
        <v>#REF!</v>
      </c>
      <c r="AS46" s="11" t="e">
        <f>#REF! / 'RISK (2 old)'!Z46</f>
        <v>#REF!</v>
      </c>
      <c r="AT46" t="e">
        <f>(DATE(2013,6,1) - AA46) *#REF!</f>
        <v>#REF!</v>
      </c>
      <c r="AU46" t="e">
        <f>AB46*#REF!</f>
        <v>#REF!</v>
      </c>
      <c r="AW46">
        <f xml:space="preserve"> IF(AC46 = "", 1,#REF!)</f>
        <v>1</v>
      </c>
      <c r="AX46">
        <v>1</v>
      </c>
      <c r="AZ46" s="48" t="e">
        <f t="shared" si="1"/>
        <v>#REF!</v>
      </c>
      <c r="BA46" s="48" t="e">
        <f t="shared" si="2"/>
        <v>#REF!</v>
      </c>
      <c r="BB46" s="48" t="e">
        <f t="shared" si="3"/>
        <v>#REF!</v>
      </c>
    </row>
    <row r="47" spans="1:54" s="34" customFormat="1" x14ac:dyDescent="0.25">
      <c r="A47" s="47"/>
      <c r="B47" s="29" t="s">
        <v>65</v>
      </c>
      <c r="C47" s="30">
        <v>0</v>
      </c>
      <c r="D47" s="30">
        <v>0</v>
      </c>
      <c r="E47" s="31">
        <v>400</v>
      </c>
      <c r="F47" s="32">
        <v>600</v>
      </c>
      <c r="G47" s="31"/>
      <c r="H47" s="33"/>
      <c r="I47" s="30"/>
      <c r="J47" s="31">
        <v>6</v>
      </c>
      <c r="K47" s="32">
        <v>2</v>
      </c>
      <c r="L47" s="30">
        <v>24</v>
      </c>
      <c r="M47" s="33">
        <f t="shared" si="13"/>
        <v>3.4886631705063311</v>
      </c>
      <c r="N47" s="33">
        <f t="shared" si="13"/>
        <v>5.2329947557594965</v>
      </c>
      <c r="O47" s="33"/>
      <c r="P47" s="33"/>
      <c r="Q47" s="33"/>
      <c r="Z47" s="34">
        <v>0.28000000000000003</v>
      </c>
      <c r="AA47" s="35">
        <v>40529</v>
      </c>
      <c r="AB47" s="36">
        <v>0.4929</v>
      </c>
      <c r="AC47" s="36"/>
      <c r="AE47" s="37" t="e">
        <f>O47*#REF!</f>
        <v>#REF!</v>
      </c>
      <c r="AF47" s="34" t="e">
        <f>IF(#REF! = "DOT",#REF!, 0) + IF(#REF! = "USCG",#REF!, 0)</f>
        <v>#REF!</v>
      </c>
      <c r="AG47" s="34" t="e">
        <f>IF(#REF! = "Yes",#REF!, 0) + IF(#REF! = "Yes",#REF!, 0)</f>
        <v>#REF!</v>
      </c>
      <c r="AH47" s="34" t="e">
        <f>P47*#REF!</f>
        <v>#REF!</v>
      </c>
      <c r="AI47" s="34" t="e">
        <f>Q47*#REF!</f>
        <v>#REF!</v>
      </c>
      <c r="AJ47" s="34">
        <f>IF(R47 = "Butane",#REF!, 0) + IF(R47 = "Avjet",#REF!, 0) + IF(R47 = "Avgas",#REF!, 0)</f>
        <v>0</v>
      </c>
      <c r="AK47" s="34">
        <f>IF(T47 = "Yes",#REF!, 0 )  +  IF(U47 = "Yes",#REF!, 0 )</f>
        <v>0</v>
      </c>
      <c r="AM47" s="34" t="e">
        <f>P47*#REF!</f>
        <v>#REF!</v>
      </c>
      <c r="AN47" s="34">
        <v>1</v>
      </c>
      <c r="AP47" s="34" t="e">
        <f>W47*#REF!</f>
        <v>#REF!</v>
      </c>
      <c r="AQ47" s="34">
        <f>IF(X47 = "Hi Temp",#REF!, 0)</f>
        <v>0</v>
      </c>
      <c r="AR47" s="34" t="e">
        <f>(2013 - Y47)*#REF!</f>
        <v>#REF!</v>
      </c>
      <c r="AS47" s="37" t="e">
        <f>#REF! / 'RISK (2 old)'!Z47</f>
        <v>#REF!</v>
      </c>
      <c r="AT47" s="34" t="e">
        <f>(DATE(2013,6,1) - AA47) *#REF!</f>
        <v>#REF!</v>
      </c>
      <c r="AU47" s="34" t="e">
        <f>AB47*#REF!</f>
        <v>#REF!</v>
      </c>
      <c r="AX47" s="34">
        <v>1</v>
      </c>
      <c r="AZ47" s="48"/>
      <c r="BA47" s="48"/>
    </row>
    <row r="48" spans="1:54" x14ac:dyDescent="0.25">
      <c r="B48" s="9"/>
      <c r="C48" s="24">
        <v>0</v>
      </c>
      <c r="D48" s="24">
        <v>0</v>
      </c>
      <c r="E48" s="25"/>
      <c r="F48" s="26"/>
      <c r="G48" s="26"/>
      <c r="H48" s="27"/>
      <c r="I48" s="24"/>
      <c r="J48" s="25"/>
      <c r="K48" s="28"/>
      <c r="L48" s="2"/>
      <c r="M48" s="13"/>
      <c r="N48" s="13"/>
      <c r="O48" s="14"/>
      <c r="P48" s="13"/>
      <c r="Q48" s="13"/>
      <c r="AA48" s="20"/>
      <c r="AB48" s="21"/>
      <c r="AC48" s="21"/>
      <c r="AE48" s="11"/>
      <c r="AZ48" s="48"/>
      <c r="BA48" s="48"/>
      <c r="BB48" s="48"/>
    </row>
    <row r="49" spans="2:54" x14ac:dyDescent="0.25">
      <c r="B49" s="9"/>
      <c r="C49" s="24">
        <v>0</v>
      </c>
      <c r="D49" s="24">
        <v>0</v>
      </c>
      <c r="E49" s="25"/>
      <c r="F49" s="26"/>
      <c r="G49" s="26"/>
      <c r="H49" s="27"/>
      <c r="I49" s="24"/>
      <c r="J49" s="25"/>
      <c r="K49" s="28"/>
      <c r="L49" s="2"/>
      <c r="M49" s="13"/>
      <c r="N49" s="13"/>
      <c r="O49" s="14"/>
      <c r="P49" s="13"/>
      <c r="Q49" s="13"/>
      <c r="AA49" s="20"/>
      <c r="AB49" s="21"/>
      <c r="AC49" s="21"/>
      <c r="AE49" s="11"/>
      <c r="AZ49" s="48"/>
      <c r="BA49" s="48"/>
      <c r="BB49" s="48"/>
    </row>
    <row r="50" spans="2:54" x14ac:dyDescent="0.25">
      <c r="B50" s="9"/>
      <c r="C50" s="24">
        <v>0</v>
      </c>
      <c r="D50" s="24">
        <v>0</v>
      </c>
      <c r="E50" s="25"/>
      <c r="F50" s="26"/>
      <c r="G50" s="26"/>
      <c r="H50" s="27"/>
      <c r="I50" s="24"/>
      <c r="J50" s="25"/>
      <c r="K50" s="28"/>
      <c r="L50" s="2"/>
      <c r="M50" s="13"/>
      <c r="N50" s="13"/>
      <c r="O50" s="14"/>
      <c r="P50" s="13"/>
      <c r="Q50" s="13"/>
      <c r="AA50" s="20"/>
      <c r="AB50" s="21"/>
      <c r="AC50" s="21"/>
      <c r="AE50" s="11"/>
      <c r="AZ50" s="48"/>
      <c r="BA50" s="48"/>
      <c r="BB50" s="48"/>
    </row>
    <row r="51" spans="2:54" x14ac:dyDescent="0.25">
      <c r="B51" s="9" t="s">
        <v>66</v>
      </c>
      <c r="C51" s="2">
        <v>0</v>
      </c>
      <c r="D51" s="2">
        <v>0</v>
      </c>
      <c r="E51" s="87" t="s">
        <v>24</v>
      </c>
      <c r="F51" s="5"/>
      <c r="G51" s="5">
        <v>8.625</v>
      </c>
      <c r="H51" s="13">
        <v>10.75</v>
      </c>
      <c r="I51" s="2"/>
      <c r="J51" s="12">
        <v>8</v>
      </c>
      <c r="K51" s="5">
        <v>2</v>
      </c>
      <c r="L51" s="2">
        <v>24</v>
      </c>
      <c r="M51" s="13">
        <v>0</v>
      </c>
      <c r="N51" s="13">
        <f t="shared" si="13"/>
        <v>0</v>
      </c>
      <c r="O51" s="14">
        <f t="shared" si="0"/>
        <v>10.75</v>
      </c>
      <c r="P51" s="13">
        <v>1</v>
      </c>
      <c r="Q51" s="13"/>
      <c r="R51" t="s">
        <v>2</v>
      </c>
      <c r="U51" t="s">
        <v>4</v>
      </c>
      <c r="W51">
        <v>1</v>
      </c>
      <c r="Y51">
        <v>1930</v>
      </c>
      <c r="Z51">
        <v>0.26500000000000001</v>
      </c>
      <c r="AA51" s="20">
        <v>41040</v>
      </c>
      <c r="AB51" s="21">
        <v>0.14879999999999999</v>
      </c>
      <c r="AC51" s="21"/>
      <c r="AE51" s="11" t="e">
        <f>O51*#REF!</f>
        <v>#REF!</v>
      </c>
      <c r="AF51" t="e">
        <f>IF(#REF! = "DOT",#REF!, 0) + IF(#REF! = "USCG",#REF!, 0)</f>
        <v>#REF!</v>
      </c>
      <c r="AG51" t="e">
        <f>IF(#REF! = "Yes",#REF!, 0) + IF(#REF! = "Yes",#REF!, 0)</f>
        <v>#REF!</v>
      </c>
      <c r="AH51" t="e">
        <f>P51*#REF!</f>
        <v>#REF!</v>
      </c>
      <c r="AI51" t="e">
        <f>Q51*#REF!</f>
        <v>#REF!</v>
      </c>
      <c r="AJ51">
        <f>IF(R51 = "Butane",#REF!, 0) + IF(R51 = "Avjet",#REF!, 0) + IF(R51 = "Avgas",#REF!, 0)</f>
        <v>0</v>
      </c>
      <c r="AK51" t="e">
        <f>IF(T51 = "Yes",#REF!, 0 )  +  IF(U51 = "Yes",#REF!, 0 )</f>
        <v>#REF!</v>
      </c>
      <c r="AM51" t="e">
        <f>P51*#REF!</f>
        <v>#REF!</v>
      </c>
      <c r="AN51">
        <v>1</v>
      </c>
      <c r="AO51" t="e">
        <f>#REF!</f>
        <v>#REF!</v>
      </c>
      <c r="AP51" t="e">
        <f>W51*#REF!</f>
        <v>#REF!</v>
      </c>
      <c r="AQ51">
        <f>IF(X51 = "Hi Temp",#REF!, 0)</f>
        <v>0</v>
      </c>
      <c r="AR51" t="e">
        <f>(2013 - Y51)*#REF!</f>
        <v>#REF!</v>
      </c>
      <c r="AS51" s="11" t="e">
        <f>#REF! / 'RISK (2 old)'!Z51</f>
        <v>#REF!</v>
      </c>
      <c r="AT51" t="e">
        <f>(DATE(2013,6,1) - AA51) *#REF!</f>
        <v>#REF!</v>
      </c>
      <c r="AU51" t="e">
        <f>AB51*#REF!</f>
        <v>#REF!</v>
      </c>
      <c r="AW51">
        <f xml:space="preserve"> IF(AC51 = "", 1,#REF!)</f>
        <v>1</v>
      </c>
      <c r="AX51">
        <v>1</v>
      </c>
      <c r="AZ51" s="48" t="e">
        <f t="shared" si="1"/>
        <v>#REF!</v>
      </c>
      <c r="BA51" s="48" t="e">
        <f t="shared" si="2"/>
        <v>#REF!</v>
      </c>
      <c r="BB51" s="48" t="e">
        <f t="shared" si="3"/>
        <v>#REF!</v>
      </c>
    </row>
    <row r="52" spans="2:54" x14ac:dyDescent="0.25">
      <c r="B52" s="9" t="s">
        <v>68</v>
      </c>
      <c r="C52" s="2">
        <v>0</v>
      </c>
      <c r="D52" s="2">
        <v>0</v>
      </c>
      <c r="E52" s="87"/>
      <c r="F52" s="5"/>
      <c r="G52" s="5">
        <v>8.625</v>
      </c>
      <c r="H52" s="13">
        <v>10.75</v>
      </c>
      <c r="I52" s="2"/>
      <c r="J52" s="12">
        <v>8</v>
      </c>
      <c r="K52" s="5">
        <v>2</v>
      </c>
      <c r="L52" s="2">
        <v>24</v>
      </c>
      <c r="M52" s="13">
        <f t="shared" si="13"/>
        <v>0</v>
      </c>
      <c r="N52" s="13">
        <f t="shared" si="13"/>
        <v>0</v>
      </c>
      <c r="O52" s="14">
        <f t="shared" si="0"/>
        <v>10.75</v>
      </c>
      <c r="P52" s="13">
        <v>1</v>
      </c>
      <c r="Q52" s="13"/>
      <c r="R52" t="s">
        <v>69</v>
      </c>
      <c r="U52" t="s">
        <v>4</v>
      </c>
      <c r="Y52">
        <v>1930</v>
      </c>
      <c r="Z52">
        <v>0.27800000000000002</v>
      </c>
      <c r="AA52" s="20">
        <v>41075</v>
      </c>
      <c r="AB52" s="21">
        <v>0.15390000000000001</v>
      </c>
      <c r="AC52" s="21"/>
      <c r="AE52" s="11" t="e">
        <f>O52*#REF!</f>
        <v>#REF!</v>
      </c>
      <c r="AF52" t="e">
        <f>IF(#REF! = "DOT",#REF!, 0) + IF(#REF! = "USCG",#REF!, 0)</f>
        <v>#REF!</v>
      </c>
      <c r="AG52" t="e">
        <f>IF(#REF! = "Yes",#REF!, 0) + IF(#REF! = "Yes",#REF!, 0)</f>
        <v>#REF!</v>
      </c>
      <c r="AH52" t="e">
        <f>P52*#REF!</f>
        <v>#REF!</v>
      </c>
      <c r="AI52" t="e">
        <f>Q52*#REF!</f>
        <v>#REF!</v>
      </c>
      <c r="AJ52" t="e">
        <f>IF(R52 = "Butane",#REF!, 0) + IF(R52 = "Avjet",#REF!, 0) + IF(R52 = "Avgas",#REF!, 0)</f>
        <v>#REF!</v>
      </c>
      <c r="AK52" t="e">
        <f>IF(T52 = "Yes",#REF!, 0 )  +  IF(U52 = "Yes",#REF!, 0 )</f>
        <v>#REF!</v>
      </c>
      <c r="AM52" t="e">
        <f>P52*#REF!</f>
        <v>#REF!</v>
      </c>
      <c r="AN52">
        <v>1</v>
      </c>
      <c r="AO52" t="e">
        <f>#REF!</f>
        <v>#REF!</v>
      </c>
      <c r="AP52" t="e">
        <f>W52*#REF!</f>
        <v>#REF!</v>
      </c>
      <c r="AQ52">
        <f>IF(X52 = "Hi Temp",#REF!, 0)</f>
        <v>0</v>
      </c>
      <c r="AR52" t="e">
        <f>(2013 - Y52)*#REF!</f>
        <v>#REF!</v>
      </c>
      <c r="AS52" s="11" t="e">
        <f>#REF! / 'RISK (2 old)'!Z52</f>
        <v>#REF!</v>
      </c>
      <c r="AT52" t="e">
        <f>(DATE(2013,6,1) - AA52) *#REF!</f>
        <v>#REF!</v>
      </c>
      <c r="AU52" t="e">
        <f>AB52*#REF!</f>
        <v>#REF!</v>
      </c>
      <c r="AW52">
        <f xml:space="preserve"> IF(AC52 = "", 1,#REF!)</f>
        <v>1</v>
      </c>
      <c r="AX52">
        <v>1</v>
      </c>
      <c r="AZ52" s="48" t="e">
        <f t="shared" si="1"/>
        <v>#REF!</v>
      </c>
      <c r="BA52" s="48" t="e">
        <f t="shared" si="2"/>
        <v>#REF!</v>
      </c>
      <c r="BB52" s="48" t="e">
        <f t="shared" si="3"/>
        <v>#REF!</v>
      </c>
    </row>
    <row r="53" spans="2:54" x14ac:dyDescent="0.25">
      <c r="B53" s="9" t="s">
        <v>37</v>
      </c>
      <c r="C53" s="2">
        <v>0</v>
      </c>
      <c r="D53" s="2">
        <v>0</v>
      </c>
      <c r="E53" s="87"/>
      <c r="F53" s="5"/>
      <c r="G53" s="5">
        <v>12.75</v>
      </c>
      <c r="H53" s="13">
        <v>10.75</v>
      </c>
      <c r="I53" s="2">
        <v>8.625</v>
      </c>
      <c r="J53" s="12">
        <v>12</v>
      </c>
      <c r="K53" s="5">
        <v>2</v>
      </c>
      <c r="L53" s="2">
        <v>24</v>
      </c>
      <c r="M53" s="13">
        <f t="shared" si="13"/>
        <v>0</v>
      </c>
      <c r="N53" s="13">
        <f t="shared" si="13"/>
        <v>0</v>
      </c>
      <c r="O53" s="14">
        <f t="shared" si="0"/>
        <v>10.75</v>
      </c>
      <c r="P53" s="13">
        <v>1</v>
      </c>
      <c r="Q53" s="13"/>
      <c r="R53" t="s">
        <v>2</v>
      </c>
      <c r="U53" t="s">
        <v>4</v>
      </c>
      <c r="Y53">
        <v>1942</v>
      </c>
      <c r="Z53">
        <v>0.25700000000000001</v>
      </c>
      <c r="AA53" s="20">
        <v>41045</v>
      </c>
      <c r="AB53" s="21">
        <v>0.19370000000000001</v>
      </c>
      <c r="AC53" s="21"/>
      <c r="AE53" s="11" t="e">
        <f>O53*#REF!</f>
        <v>#REF!</v>
      </c>
      <c r="AF53" t="e">
        <f>IF(#REF! = "DOT",#REF!, 0) + IF(#REF! = "USCG",#REF!, 0)</f>
        <v>#REF!</v>
      </c>
      <c r="AG53" t="e">
        <f>IF(#REF! = "Yes",#REF!, 0) + IF(#REF! = "Yes",#REF!, 0)</f>
        <v>#REF!</v>
      </c>
      <c r="AH53" t="e">
        <f>P53*#REF!</f>
        <v>#REF!</v>
      </c>
      <c r="AI53" t="e">
        <f>Q53*#REF!</f>
        <v>#REF!</v>
      </c>
      <c r="AJ53">
        <f>IF(R53 = "Butane",#REF!, 0) + IF(R53 = "Avjet",#REF!, 0) + IF(R53 = "Avgas",#REF!, 0)</f>
        <v>0</v>
      </c>
      <c r="AK53" t="e">
        <f>IF(T53 = "Yes",#REF!, 0 )  +  IF(U53 = "Yes",#REF!, 0 )</f>
        <v>#REF!</v>
      </c>
      <c r="AM53" t="e">
        <f>P53*#REF!</f>
        <v>#REF!</v>
      </c>
      <c r="AN53">
        <v>1</v>
      </c>
      <c r="AO53" t="e">
        <f>#REF!</f>
        <v>#REF!</v>
      </c>
      <c r="AP53" t="e">
        <f>W53*#REF!</f>
        <v>#REF!</v>
      </c>
      <c r="AQ53">
        <f>IF(X53 = "Hi Temp",#REF!, 0)</f>
        <v>0</v>
      </c>
      <c r="AR53" t="e">
        <f>(2013 - Y53)*#REF!</f>
        <v>#REF!</v>
      </c>
      <c r="AS53" s="11" t="e">
        <f>#REF! / 'RISK (2 old)'!Z53</f>
        <v>#REF!</v>
      </c>
      <c r="AT53" t="e">
        <f>(DATE(2013,6,1) - AA53) *#REF!</f>
        <v>#REF!</v>
      </c>
      <c r="AU53" t="e">
        <f>AB53*#REF!</f>
        <v>#REF!</v>
      </c>
      <c r="AW53">
        <f xml:space="preserve"> IF(AC53 = "", 1,#REF!)</f>
        <v>1</v>
      </c>
      <c r="AX53">
        <v>1</v>
      </c>
      <c r="AZ53" s="48" t="e">
        <f t="shared" si="1"/>
        <v>#REF!</v>
      </c>
      <c r="BA53" s="48" t="e">
        <f t="shared" si="2"/>
        <v>#REF!</v>
      </c>
      <c r="BB53" s="48" t="e">
        <f t="shared" si="3"/>
        <v>#REF!</v>
      </c>
    </row>
    <row r="54" spans="2:54" x14ac:dyDescent="0.25">
      <c r="B54" s="9" t="s">
        <v>70</v>
      </c>
      <c r="C54" s="2">
        <v>0</v>
      </c>
      <c r="D54" s="2">
        <v>0</v>
      </c>
      <c r="E54" s="87"/>
      <c r="F54" s="5"/>
      <c r="G54" s="5">
        <v>12.75</v>
      </c>
      <c r="H54" s="13">
        <v>8.625</v>
      </c>
      <c r="I54" s="2"/>
      <c r="J54" s="12">
        <v>12</v>
      </c>
      <c r="K54" s="5">
        <v>2</v>
      </c>
      <c r="L54" s="2">
        <v>24</v>
      </c>
      <c r="M54" s="13">
        <f t="shared" si="13"/>
        <v>0</v>
      </c>
      <c r="N54" s="13">
        <f t="shared" si="13"/>
        <v>0</v>
      </c>
      <c r="O54" s="14">
        <f t="shared" si="0"/>
        <v>8.625</v>
      </c>
      <c r="P54" s="13">
        <v>1</v>
      </c>
      <c r="Q54" s="13"/>
      <c r="R54" t="s">
        <v>2</v>
      </c>
      <c r="U54" t="s">
        <v>4</v>
      </c>
      <c r="W54">
        <v>1</v>
      </c>
      <c r="Y54">
        <v>1936</v>
      </c>
      <c r="Z54">
        <v>0.26</v>
      </c>
      <c r="AA54" s="20">
        <v>41071</v>
      </c>
      <c r="AB54" s="21">
        <v>0.16400000000000001</v>
      </c>
      <c r="AC54" s="21"/>
      <c r="AE54" s="11" t="e">
        <f>O54*#REF!</f>
        <v>#REF!</v>
      </c>
      <c r="AF54" t="e">
        <f>IF(#REF! = "DOT",#REF!, 0) + IF(#REF! = "USCG",#REF!, 0)</f>
        <v>#REF!</v>
      </c>
      <c r="AG54" t="e">
        <f>IF(#REF! = "Yes",#REF!, 0) + IF(#REF! = "Yes",#REF!, 0)</f>
        <v>#REF!</v>
      </c>
      <c r="AH54" t="e">
        <f>P54*#REF!</f>
        <v>#REF!</v>
      </c>
      <c r="AI54" t="e">
        <f>Q54*#REF!</f>
        <v>#REF!</v>
      </c>
      <c r="AJ54">
        <f>IF(R54 = "Butane",#REF!, 0) + IF(R54 = "Avjet",#REF!, 0) + IF(R54 = "Avgas",#REF!, 0)</f>
        <v>0</v>
      </c>
      <c r="AK54" t="e">
        <f>IF(T54 = "Yes",#REF!, 0 )  +  IF(U54 = "Yes",#REF!, 0 )</f>
        <v>#REF!</v>
      </c>
      <c r="AM54" t="e">
        <f>P54*#REF!</f>
        <v>#REF!</v>
      </c>
      <c r="AN54">
        <v>1</v>
      </c>
      <c r="AO54" t="e">
        <f>#REF!</f>
        <v>#REF!</v>
      </c>
      <c r="AP54" t="e">
        <f>W54*#REF!</f>
        <v>#REF!</v>
      </c>
      <c r="AQ54">
        <f>IF(X54 = "Hi Temp",#REF!, 0)</f>
        <v>0</v>
      </c>
      <c r="AR54" t="e">
        <f>(2013 - Y54)*#REF!</f>
        <v>#REF!</v>
      </c>
      <c r="AS54" s="11" t="e">
        <f>#REF! / 'RISK (2 old)'!Z54</f>
        <v>#REF!</v>
      </c>
      <c r="AT54" t="e">
        <f>(DATE(2013,6,1) - AA54) *#REF!</f>
        <v>#REF!</v>
      </c>
      <c r="AU54" t="e">
        <f>AB54*#REF!</f>
        <v>#REF!</v>
      </c>
      <c r="AW54">
        <f xml:space="preserve"> IF(AC54 = "", 1,#REF!)</f>
        <v>1</v>
      </c>
      <c r="AX54">
        <v>1</v>
      </c>
      <c r="AZ54" s="48" t="e">
        <f t="shared" si="1"/>
        <v>#REF!</v>
      </c>
      <c r="BA54" s="48" t="e">
        <f t="shared" si="2"/>
        <v>#REF!</v>
      </c>
      <c r="BB54" s="48" t="e">
        <f t="shared" si="3"/>
        <v>#REF!</v>
      </c>
    </row>
    <row r="55" spans="2:54" x14ac:dyDescent="0.25">
      <c r="B55" s="9" t="s">
        <v>71</v>
      </c>
      <c r="C55" s="2">
        <v>0</v>
      </c>
      <c r="D55" s="2">
        <v>0</v>
      </c>
      <c r="E55" s="87"/>
      <c r="F55" s="5"/>
      <c r="G55" s="5">
        <v>12.75</v>
      </c>
      <c r="H55" s="13">
        <v>8.625</v>
      </c>
      <c r="I55" s="2"/>
      <c r="J55" s="12">
        <v>12</v>
      </c>
      <c r="K55" s="5">
        <v>2</v>
      </c>
      <c r="L55" s="2">
        <v>24</v>
      </c>
      <c r="M55" s="13">
        <f t="shared" si="13"/>
        <v>0</v>
      </c>
      <c r="N55" s="13">
        <f t="shared" si="13"/>
        <v>0</v>
      </c>
      <c r="O55" s="14">
        <f t="shared" si="0"/>
        <v>8.625</v>
      </c>
      <c r="P55" s="13">
        <v>1</v>
      </c>
      <c r="Q55" s="13"/>
      <c r="R55" t="s">
        <v>2</v>
      </c>
      <c r="U55" t="s">
        <v>4</v>
      </c>
      <c r="Y55">
        <v>1930</v>
      </c>
      <c r="Z55">
        <v>0.28499999999999998</v>
      </c>
      <c r="AA55" s="20">
        <v>41115</v>
      </c>
      <c r="AB55" s="21">
        <v>0.20180000000000001</v>
      </c>
      <c r="AC55" s="21" t="s">
        <v>33</v>
      </c>
      <c r="AE55" s="11" t="e">
        <f>O55*#REF!</f>
        <v>#REF!</v>
      </c>
      <c r="AF55" t="e">
        <f>IF(#REF! = "DOT",#REF!, 0) + IF(#REF! = "USCG",#REF!, 0)</f>
        <v>#REF!</v>
      </c>
      <c r="AG55" t="e">
        <f>IF(#REF! = "Yes",#REF!, 0) + IF(#REF! = "Yes",#REF!, 0)</f>
        <v>#REF!</v>
      </c>
      <c r="AH55" t="e">
        <f>P55*#REF!</f>
        <v>#REF!</v>
      </c>
      <c r="AI55" t="e">
        <f>Q55*#REF!</f>
        <v>#REF!</v>
      </c>
      <c r="AJ55">
        <f>IF(R55 = "Butane",#REF!, 0) + IF(R55 = "Avjet",#REF!, 0) + IF(R55 = "Avgas",#REF!, 0)</f>
        <v>0</v>
      </c>
      <c r="AK55" t="e">
        <f>IF(T55 = "Yes",#REF!, 0 )  +  IF(U55 = "Yes",#REF!, 0 )</f>
        <v>#REF!</v>
      </c>
      <c r="AM55" t="e">
        <f>P55*#REF!</f>
        <v>#REF!</v>
      </c>
      <c r="AN55">
        <v>1</v>
      </c>
      <c r="AO55" t="e">
        <f>#REF!</f>
        <v>#REF!</v>
      </c>
      <c r="AP55" t="e">
        <f>W55*#REF!</f>
        <v>#REF!</v>
      </c>
      <c r="AQ55">
        <f>IF(X55 = "Hi Temp",#REF!, 0)</f>
        <v>0</v>
      </c>
      <c r="AR55" t="e">
        <f>(2013 - Y55)*#REF!</f>
        <v>#REF!</v>
      </c>
      <c r="AS55" s="11" t="e">
        <f>#REF! / 'RISK (2 old)'!Z55</f>
        <v>#REF!</v>
      </c>
      <c r="AT55" t="e">
        <f>(DATE(2013,6,1) - AA55) *#REF!</f>
        <v>#REF!</v>
      </c>
      <c r="AU55" t="e">
        <f>AB55*#REF!</f>
        <v>#REF!</v>
      </c>
      <c r="AW55" t="e">
        <f xml:space="preserve"> IF(AC55 = "", 1,#REF!)</f>
        <v>#REF!</v>
      </c>
      <c r="AX55">
        <v>1</v>
      </c>
      <c r="AZ55" s="48" t="e">
        <f t="shared" si="1"/>
        <v>#REF!</v>
      </c>
      <c r="BA55" s="48" t="e">
        <f t="shared" si="2"/>
        <v>#REF!</v>
      </c>
      <c r="BB55" s="48" t="e">
        <f t="shared" si="3"/>
        <v>#REF!</v>
      </c>
    </row>
    <row r="56" spans="2:54" x14ac:dyDescent="0.25">
      <c r="B56" s="9" t="s">
        <v>72</v>
      </c>
      <c r="C56" s="2">
        <v>0</v>
      </c>
      <c r="D56" s="2">
        <v>0</v>
      </c>
      <c r="E56" s="87"/>
      <c r="F56" s="5"/>
      <c r="G56" s="5">
        <v>12.75</v>
      </c>
      <c r="H56" s="13">
        <v>10.75</v>
      </c>
      <c r="I56" s="2">
        <v>8.625</v>
      </c>
      <c r="J56" s="12">
        <v>12</v>
      </c>
      <c r="K56" s="5">
        <v>2</v>
      </c>
      <c r="L56" s="2">
        <v>24</v>
      </c>
      <c r="M56" s="13">
        <f t="shared" si="13"/>
        <v>0</v>
      </c>
      <c r="N56" s="13">
        <f t="shared" si="13"/>
        <v>0</v>
      </c>
      <c r="O56" s="14">
        <f t="shared" si="0"/>
        <v>10.75</v>
      </c>
      <c r="P56" s="13">
        <v>1</v>
      </c>
      <c r="Q56" s="13"/>
      <c r="R56" t="s">
        <v>36</v>
      </c>
      <c r="U56" t="s">
        <v>4</v>
      </c>
      <c r="W56">
        <v>3</v>
      </c>
      <c r="Y56">
        <v>1930</v>
      </c>
      <c r="Z56">
        <v>0.24199999999999999</v>
      </c>
      <c r="AA56" s="20">
        <v>40996</v>
      </c>
      <c r="AB56" s="21">
        <v>0.27439999999999998</v>
      </c>
      <c r="AC56" s="21" t="s">
        <v>33</v>
      </c>
      <c r="AE56" s="11" t="e">
        <f>O56*#REF!</f>
        <v>#REF!</v>
      </c>
      <c r="AF56" t="e">
        <f>IF(#REF! = "DOT",#REF!, 0) + IF(#REF! = "USCG",#REF!, 0)</f>
        <v>#REF!</v>
      </c>
      <c r="AG56" t="e">
        <f>IF(#REF! = "Yes",#REF!, 0) + IF(#REF! = "Yes",#REF!, 0)</f>
        <v>#REF!</v>
      </c>
      <c r="AH56" t="e">
        <f>P56*#REF!</f>
        <v>#REF!</v>
      </c>
      <c r="AI56" t="e">
        <f>Q56*#REF!</f>
        <v>#REF!</v>
      </c>
      <c r="AJ56">
        <f>IF(R56 = "Butane",#REF!, 0) + IF(R56 = "Avjet",#REF!, 0) + IF(R56 = "Avgas",#REF!, 0)</f>
        <v>0</v>
      </c>
      <c r="AK56" t="e">
        <f>IF(T56 = "Yes",#REF!, 0 )  +  IF(U56 = "Yes",#REF!, 0 )</f>
        <v>#REF!</v>
      </c>
      <c r="AM56" t="e">
        <f>P56*#REF!</f>
        <v>#REF!</v>
      </c>
      <c r="AN56">
        <v>1</v>
      </c>
      <c r="AO56" t="e">
        <f>#REF!</f>
        <v>#REF!</v>
      </c>
      <c r="AP56" t="e">
        <f>W56*#REF!</f>
        <v>#REF!</v>
      </c>
      <c r="AQ56">
        <f>IF(X56 = "Hi Temp",#REF!, 0)</f>
        <v>0</v>
      </c>
      <c r="AR56" t="e">
        <f>(2013 - Y56)*#REF!</f>
        <v>#REF!</v>
      </c>
      <c r="AS56" s="11" t="e">
        <f>#REF! / 'RISK (2 old)'!Z56</f>
        <v>#REF!</v>
      </c>
      <c r="AT56" t="e">
        <f>(DATE(2013,6,1) - AA56) *#REF!</f>
        <v>#REF!</v>
      </c>
      <c r="AU56" t="e">
        <f>AB56*#REF!</f>
        <v>#REF!</v>
      </c>
      <c r="AW56" t="e">
        <f xml:space="preserve"> IF(AC56 = "", 1,#REF!)</f>
        <v>#REF!</v>
      </c>
      <c r="AX56">
        <v>1</v>
      </c>
      <c r="AZ56" s="48" t="e">
        <f t="shared" si="1"/>
        <v>#REF!</v>
      </c>
      <c r="BA56" s="48" t="e">
        <f t="shared" si="2"/>
        <v>#REF!</v>
      </c>
      <c r="BB56" s="48" t="e">
        <f t="shared" si="3"/>
        <v>#REF!</v>
      </c>
    </row>
    <row r="57" spans="2:54" x14ac:dyDescent="0.25">
      <c r="B57" s="9" t="s">
        <v>73</v>
      </c>
      <c r="C57" s="2">
        <v>0</v>
      </c>
      <c r="D57" s="2">
        <v>0</v>
      </c>
      <c r="E57" s="87"/>
      <c r="F57" s="5"/>
      <c r="G57" s="5">
        <v>12.75</v>
      </c>
      <c r="H57" s="13">
        <v>8.625</v>
      </c>
      <c r="I57" s="2"/>
      <c r="J57" s="12">
        <v>12</v>
      </c>
      <c r="K57" s="5">
        <v>2</v>
      </c>
      <c r="L57" s="2">
        <v>24</v>
      </c>
      <c r="M57" s="13">
        <f t="shared" si="13"/>
        <v>0</v>
      </c>
      <c r="N57" s="13">
        <f t="shared" si="13"/>
        <v>0</v>
      </c>
      <c r="O57" s="14">
        <f t="shared" si="0"/>
        <v>8.625</v>
      </c>
      <c r="P57" s="13">
        <v>1</v>
      </c>
      <c r="Q57" s="13"/>
      <c r="R57" t="s">
        <v>2</v>
      </c>
      <c r="U57" t="s">
        <v>4</v>
      </c>
      <c r="Y57">
        <v>1930</v>
      </c>
      <c r="Z57">
        <v>0.27800000000000002</v>
      </c>
      <c r="AA57" s="20">
        <v>41050</v>
      </c>
      <c r="AB57" s="21">
        <v>0.15909999999999999</v>
      </c>
      <c r="AC57" s="21"/>
      <c r="AE57" s="11" t="e">
        <f>O57*#REF!</f>
        <v>#REF!</v>
      </c>
      <c r="AF57" t="e">
        <f>IF(#REF! = "DOT",#REF!, 0) + IF(#REF! = "USCG",#REF!, 0)</f>
        <v>#REF!</v>
      </c>
      <c r="AG57" t="e">
        <f>IF(#REF! = "Yes",#REF!, 0) + IF(#REF! = "Yes",#REF!, 0)</f>
        <v>#REF!</v>
      </c>
      <c r="AH57" t="e">
        <f>P57*#REF!</f>
        <v>#REF!</v>
      </c>
      <c r="AI57" t="e">
        <f>Q57*#REF!</f>
        <v>#REF!</v>
      </c>
      <c r="AJ57">
        <f>IF(R57 = "Butane",#REF!, 0) + IF(R57 = "Avjet",#REF!, 0) + IF(R57 = "Avgas",#REF!, 0)</f>
        <v>0</v>
      </c>
      <c r="AK57" t="e">
        <f>IF(T57 = "Yes",#REF!, 0 )  +  IF(U57 = "Yes",#REF!, 0 )</f>
        <v>#REF!</v>
      </c>
      <c r="AM57" t="e">
        <f>P57*#REF!</f>
        <v>#REF!</v>
      </c>
      <c r="AN57">
        <v>1</v>
      </c>
      <c r="AO57" t="e">
        <f>#REF!</f>
        <v>#REF!</v>
      </c>
      <c r="AP57" t="e">
        <f>W57*#REF!</f>
        <v>#REF!</v>
      </c>
      <c r="AQ57">
        <f>IF(X57 = "Hi Temp",#REF!, 0)</f>
        <v>0</v>
      </c>
      <c r="AR57" t="e">
        <f>(2013 - Y57)*#REF!</f>
        <v>#REF!</v>
      </c>
      <c r="AS57" s="11" t="e">
        <f>#REF! / 'RISK (2 old)'!Z57</f>
        <v>#REF!</v>
      </c>
      <c r="AT57" t="e">
        <f>(DATE(2013,6,1) - AA57) *#REF!</f>
        <v>#REF!</v>
      </c>
      <c r="AU57" t="e">
        <f>AB57*#REF!</f>
        <v>#REF!</v>
      </c>
      <c r="AW57">
        <f xml:space="preserve"> IF(AC57 = "", 1,#REF!)</f>
        <v>1</v>
      </c>
      <c r="AX57">
        <v>1</v>
      </c>
      <c r="AZ57" s="48" t="e">
        <f t="shared" si="1"/>
        <v>#REF!</v>
      </c>
      <c r="BA57" s="48" t="e">
        <f t="shared" si="2"/>
        <v>#REF!</v>
      </c>
      <c r="BB57" s="48" t="e">
        <f t="shared" si="3"/>
        <v>#REF!</v>
      </c>
    </row>
    <row r="58" spans="2:54" x14ac:dyDescent="0.25">
      <c r="B58" s="9" t="s">
        <v>74</v>
      </c>
      <c r="C58" s="2">
        <v>0</v>
      </c>
      <c r="D58" s="2">
        <v>0</v>
      </c>
      <c r="E58" s="87"/>
      <c r="F58" s="5"/>
      <c r="G58" s="12" t="s">
        <v>41</v>
      </c>
      <c r="H58" s="13">
        <v>11</v>
      </c>
      <c r="I58" s="2"/>
      <c r="J58" s="12">
        <v>16</v>
      </c>
      <c r="K58" s="5">
        <v>2</v>
      </c>
      <c r="L58" s="2">
        <v>24</v>
      </c>
      <c r="M58" s="13">
        <f t="shared" si="13"/>
        <v>0</v>
      </c>
      <c r="N58" s="13">
        <f t="shared" si="13"/>
        <v>0</v>
      </c>
      <c r="O58" s="14">
        <f t="shared" si="0"/>
        <v>11</v>
      </c>
      <c r="P58" s="13">
        <v>1</v>
      </c>
      <c r="Q58" s="13"/>
      <c r="R58" t="s">
        <v>75</v>
      </c>
      <c r="U58" t="s">
        <v>4</v>
      </c>
      <c r="Y58">
        <v>2012</v>
      </c>
      <c r="Z58">
        <v>0.375</v>
      </c>
      <c r="AA58" s="20">
        <v>41090</v>
      </c>
      <c r="AB58" s="21">
        <v>0.17369999999999999</v>
      </c>
      <c r="AC58" s="21"/>
      <c r="AE58" s="11" t="e">
        <f>O58*#REF!</f>
        <v>#REF!</v>
      </c>
      <c r="AF58" t="e">
        <f>IF(#REF! = "DOT",#REF!, 0) + IF(#REF! = "USCG",#REF!, 0)</f>
        <v>#REF!</v>
      </c>
      <c r="AG58" t="e">
        <f>IF(#REF! = "Yes",#REF!, 0) + IF(#REF! = "Yes",#REF!, 0)</f>
        <v>#REF!</v>
      </c>
      <c r="AH58" t="e">
        <f>P58*#REF!</f>
        <v>#REF!</v>
      </c>
      <c r="AI58" t="e">
        <f>Q58*#REF!</f>
        <v>#REF!</v>
      </c>
      <c r="AJ58">
        <f>IF(R58 = "Butane",#REF!, 0) + IF(R58 = "Avjet",#REF!, 0) + IF(R58 = "Avgas",#REF!, 0)</f>
        <v>0</v>
      </c>
      <c r="AK58" t="e">
        <f>IF(T58 = "Yes",#REF!, 0 )  +  IF(U58 = "Yes",#REF!, 0 )</f>
        <v>#REF!</v>
      </c>
      <c r="AM58" t="e">
        <f>P58*#REF!</f>
        <v>#REF!</v>
      </c>
      <c r="AN58">
        <v>1</v>
      </c>
      <c r="AO58" t="e">
        <f>#REF!</f>
        <v>#REF!</v>
      </c>
      <c r="AP58" t="e">
        <f>W58*#REF!</f>
        <v>#REF!</v>
      </c>
      <c r="AQ58">
        <f>IF(X58 = "Hi Temp",#REF!, 0)</f>
        <v>0</v>
      </c>
      <c r="AR58" t="e">
        <f>(2013 - Y58)*#REF!</f>
        <v>#REF!</v>
      </c>
      <c r="AS58" s="11" t="e">
        <f>#REF! / 'RISK (2 old)'!Z58</f>
        <v>#REF!</v>
      </c>
      <c r="AT58" t="e">
        <f>(DATE(2013,6,1) - AA58) *#REF!</f>
        <v>#REF!</v>
      </c>
      <c r="AU58" t="e">
        <f>AB58*#REF!</f>
        <v>#REF!</v>
      </c>
      <c r="AW58">
        <f xml:space="preserve"> IF(AC58 = "", 1,#REF!)</f>
        <v>1</v>
      </c>
      <c r="AX58" t="e">
        <f>#REF!</f>
        <v>#REF!</v>
      </c>
      <c r="AZ58" s="48" t="e">
        <f t="shared" si="1"/>
        <v>#REF!</v>
      </c>
      <c r="BA58" s="48" t="e">
        <f t="shared" si="2"/>
        <v>#REF!</v>
      </c>
      <c r="BB58" s="48" t="e">
        <f t="shared" si="3"/>
        <v>#REF!</v>
      </c>
    </row>
    <row r="59" spans="2:54" x14ac:dyDescent="0.25">
      <c r="B59" s="9" t="s">
        <v>76</v>
      </c>
      <c r="C59" s="2">
        <v>0</v>
      </c>
      <c r="D59" s="2">
        <v>0</v>
      </c>
      <c r="E59" s="87"/>
      <c r="F59" s="5"/>
      <c r="G59" s="12" t="s">
        <v>41</v>
      </c>
      <c r="H59" s="13">
        <v>36</v>
      </c>
      <c r="I59" s="2"/>
      <c r="J59" s="12">
        <v>24</v>
      </c>
      <c r="K59" s="5">
        <v>2</v>
      </c>
      <c r="L59" s="2">
        <v>24</v>
      </c>
      <c r="M59" s="13">
        <f t="shared" si="13"/>
        <v>0</v>
      </c>
      <c r="N59" s="13">
        <f t="shared" si="13"/>
        <v>0</v>
      </c>
      <c r="O59" s="14">
        <f t="shared" si="0"/>
        <v>36</v>
      </c>
      <c r="P59" s="13">
        <v>1</v>
      </c>
      <c r="Q59" s="13"/>
      <c r="R59" t="s">
        <v>75</v>
      </c>
      <c r="U59" t="s">
        <v>4</v>
      </c>
      <c r="Y59">
        <v>2012</v>
      </c>
      <c r="Z59">
        <v>0.375</v>
      </c>
      <c r="AA59" s="20">
        <v>41090</v>
      </c>
      <c r="AB59" s="21">
        <v>0.2606</v>
      </c>
      <c r="AC59" s="21"/>
      <c r="AE59" s="11" t="e">
        <f>O59*#REF!</f>
        <v>#REF!</v>
      </c>
      <c r="AF59" t="e">
        <f>IF(#REF! = "DOT",#REF!, 0) + IF(#REF! = "USCG",#REF!, 0)</f>
        <v>#REF!</v>
      </c>
      <c r="AG59" t="e">
        <f>IF(#REF! = "Yes",#REF!, 0) + IF(#REF! = "Yes",#REF!, 0)</f>
        <v>#REF!</v>
      </c>
      <c r="AH59" t="e">
        <f>P59*#REF!</f>
        <v>#REF!</v>
      </c>
      <c r="AI59" t="e">
        <f>Q59*#REF!</f>
        <v>#REF!</v>
      </c>
      <c r="AJ59">
        <f>IF(R59 = "Butane",#REF!, 0) + IF(R59 = "Avjet",#REF!, 0) + IF(R59 = "Avgas",#REF!, 0)</f>
        <v>0</v>
      </c>
      <c r="AK59" t="e">
        <f>IF(T59 = "Yes",#REF!, 0 )  +  IF(U59 = "Yes",#REF!, 0 )</f>
        <v>#REF!</v>
      </c>
      <c r="AM59" t="e">
        <f>P59*#REF!</f>
        <v>#REF!</v>
      </c>
      <c r="AN59">
        <v>1</v>
      </c>
      <c r="AO59" t="e">
        <f>#REF!</f>
        <v>#REF!</v>
      </c>
      <c r="AP59" t="e">
        <f>W59*#REF!</f>
        <v>#REF!</v>
      </c>
      <c r="AQ59">
        <f>IF(X59 = "Hi Temp",#REF!, 0)</f>
        <v>0</v>
      </c>
      <c r="AR59" t="e">
        <f>(2013 - Y59)*#REF!</f>
        <v>#REF!</v>
      </c>
      <c r="AS59" s="11" t="e">
        <f>#REF! / 'RISK (2 old)'!Z59</f>
        <v>#REF!</v>
      </c>
      <c r="AT59" t="e">
        <f>(DATE(2013,6,1) - AA59) *#REF!</f>
        <v>#REF!</v>
      </c>
      <c r="AU59" t="e">
        <f>AB59*#REF!</f>
        <v>#REF!</v>
      </c>
      <c r="AW59">
        <f xml:space="preserve"> IF(AC59 = "", 1,#REF!)</f>
        <v>1</v>
      </c>
      <c r="AX59" t="e">
        <f>#REF!</f>
        <v>#REF!</v>
      </c>
      <c r="AZ59" s="48" t="e">
        <f t="shared" si="1"/>
        <v>#REF!</v>
      </c>
      <c r="BA59" s="48" t="e">
        <f t="shared" si="2"/>
        <v>#REF!</v>
      </c>
      <c r="BB59" s="48" t="e">
        <f t="shared" si="3"/>
        <v>#REF!</v>
      </c>
    </row>
    <row r="60" spans="2:54" x14ac:dyDescent="0.25">
      <c r="B60" s="9" t="s">
        <v>77</v>
      </c>
      <c r="C60" s="2">
        <v>0</v>
      </c>
      <c r="D60" s="2">
        <v>0</v>
      </c>
      <c r="E60" s="87"/>
      <c r="F60" s="5"/>
      <c r="G60" s="5">
        <v>8.625</v>
      </c>
      <c r="H60" s="13">
        <f>H51</f>
        <v>10.75</v>
      </c>
      <c r="I60" s="2"/>
      <c r="J60" s="12">
        <v>8</v>
      </c>
      <c r="K60" s="5">
        <v>2</v>
      </c>
      <c r="L60" s="2">
        <v>24</v>
      </c>
      <c r="M60" s="13">
        <v>0</v>
      </c>
      <c r="N60" s="13">
        <f t="shared" si="13"/>
        <v>0</v>
      </c>
      <c r="O60" s="14">
        <f t="shared" si="0"/>
        <v>10.75</v>
      </c>
      <c r="P60" s="13">
        <v>1</v>
      </c>
      <c r="Q60" s="13"/>
      <c r="R60" t="s">
        <v>27</v>
      </c>
      <c r="U60" t="s">
        <v>4</v>
      </c>
      <c r="W60">
        <v>1</v>
      </c>
      <c r="Y60">
        <v>1930</v>
      </c>
      <c r="Z60">
        <v>0.35099999999999998</v>
      </c>
      <c r="AA60" s="20">
        <v>40954</v>
      </c>
      <c r="AB60" s="21">
        <v>0.128</v>
      </c>
      <c r="AC60" s="21"/>
      <c r="AE60" s="11" t="e">
        <f>O60*#REF!</f>
        <v>#REF!</v>
      </c>
      <c r="AF60" t="e">
        <f>IF(#REF! = "DOT",#REF!, 0) + IF(#REF! = "USCG",#REF!, 0)</f>
        <v>#REF!</v>
      </c>
      <c r="AG60" t="e">
        <f>IF(#REF! = "Yes",#REF!, 0) + IF(#REF! = "Yes",#REF!, 0)</f>
        <v>#REF!</v>
      </c>
      <c r="AH60" t="e">
        <f>P60*#REF!</f>
        <v>#REF!</v>
      </c>
      <c r="AI60" t="e">
        <f>Q60*#REF!</f>
        <v>#REF!</v>
      </c>
      <c r="AJ60" t="e">
        <f>IF(R60 = "Butane",#REF!, 0) + IF(R60 = "Avjet",#REF!, 0) + IF(R60 = "Avgas",#REF!, 0)</f>
        <v>#REF!</v>
      </c>
      <c r="AK60" t="e">
        <f>IF(T60 = "Yes",#REF!, 0 )  +  IF(U60 = "Yes",#REF!, 0 )</f>
        <v>#REF!</v>
      </c>
      <c r="AM60" t="e">
        <f>P60*#REF!</f>
        <v>#REF!</v>
      </c>
      <c r="AN60">
        <v>1</v>
      </c>
      <c r="AO60" t="e">
        <f>#REF!</f>
        <v>#REF!</v>
      </c>
      <c r="AP60" t="e">
        <f>W60*#REF!</f>
        <v>#REF!</v>
      </c>
      <c r="AQ60">
        <f>IF(X60 = "Hi Temp",#REF!, 0)</f>
        <v>0</v>
      </c>
      <c r="AR60" t="e">
        <f>(2013 - Y60)*#REF!</f>
        <v>#REF!</v>
      </c>
      <c r="AS60" s="11" t="e">
        <f>#REF! / 'RISK (2 old)'!Z60</f>
        <v>#REF!</v>
      </c>
      <c r="AT60" t="e">
        <f>(DATE(2013,6,1) - AA60) *#REF!</f>
        <v>#REF!</v>
      </c>
      <c r="AU60" t="e">
        <f>AB60*#REF!</f>
        <v>#REF!</v>
      </c>
      <c r="AW60">
        <f xml:space="preserve"> IF(AC60 = "", 1,#REF!)</f>
        <v>1</v>
      </c>
      <c r="AX60">
        <v>1</v>
      </c>
      <c r="AZ60" s="48" t="e">
        <f t="shared" si="1"/>
        <v>#REF!</v>
      </c>
      <c r="BA60" s="48" t="e">
        <f t="shared" si="2"/>
        <v>#REF!</v>
      </c>
      <c r="BB60" s="48" t="e">
        <f t="shared" si="3"/>
        <v>#REF!</v>
      </c>
    </row>
    <row r="61" spans="2:54" x14ac:dyDescent="0.25">
      <c r="B61" s="9" t="s">
        <v>78</v>
      </c>
      <c r="C61" s="2">
        <v>0</v>
      </c>
      <c r="D61" s="2">
        <v>0</v>
      </c>
      <c r="E61" s="87"/>
      <c r="F61" s="5"/>
      <c r="G61" s="5">
        <v>12.75</v>
      </c>
      <c r="H61" s="13">
        <v>8.625</v>
      </c>
      <c r="I61" s="2">
        <v>6.625</v>
      </c>
      <c r="J61" s="12">
        <v>12</v>
      </c>
      <c r="K61" s="5">
        <v>2</v>
      </c>
      <c r="L61" s="2">
        <v>24</v>
      </c>
      <c r="M61" s="13">
        <f t="shared" si="13"/>
        <v>0</v>
      </c>
      <c r="N61" s="13">
        <f t="shared" si="13"/>
        <v>0</v>
      </c>
      <c r="O61" s="14">
        <f t="shared" si="0"/>
        <v>8.625</v>
      </c>
      <c r="P61" s="13">
        <v>1</v>
      </c>
      <c r="Q61" s="13"/>
      <c r="R61" t="s">
        <v>27</v>
      </c>
      <c r="U61" t="s">
        <v>4</v>
      </c>
      <c r="Y61">
        <v>1930</v>
      </c>
      <c r="Z61">
        <v>0.23799999999999999</v>
      </c>
      <c r="AA61" s="20">
        <v>40968</v>
      </c>
      <c r="AB61" s="21">
        <v>0.1925</v>
      </c>
      <c r="AC61" s="21"/>
      <c r="AE61" s="11" t="e">
        <f>O61*#REF!</f>
        <v>#REF!</v>
      </c>
      <c r="AF61" t="e">
        <f>IF(#REF! = "DOT",#REF!, 0) + IF(#REF! = "USCG",#REF!, 0)</f>
        <v>#REF!</v>
      </c>
      <c r="AG61" t="e">
        <f>IF(#REF! = "Yes",#REF!, 0) + IF(#REF! = "Yes",#REF!, 0)</f>
        <v>#REF!</v>
      </c>
      <c r="AH61" t="e">
        <f>P61*#REF!</f>
        <v>#REF!</v>
      </c>
      <c r="AI61" t="e">
        <f>Q61*#REF!</f>
        <v>#REF!</v>
      </c>
      <c r="AJ61" t="e">
        <f>IF(R61 = "Butane",#REF!, 0) + IF(R61 = "Avjet",#REF!, 0) + IF(R61 = "Avgas",#REF!, 0)</f>
        <v>#REF!</v>
      </c>
      <c r="AK61" t="e">
        <f>IF(T61 = "Yes",#REF!, 0 )  +  IF(U61 = "Yes",#REF!, 0 )</f>
        <v>#REF!</v>
      </c>
      <c r="AM61" t="e">
        <f>P61*#REF!</f>
        <v>#REF!</v>
      </c>
      <c r="AN61">
        <v>1</v>
      </c>
      <c r="AO61" t="e">
        <f>#REF!</f>
        <v>#REF!</v>
      </c>
      <c r="AP61" t="e">
        <f>W61*#REF!</f>
        <v>#REF!</v>
      </c>
      <c r="AQ61">
        <f>IF(X61 = "Hi Temp",#REF!, 0)</f>
        <v>0</v>
      </c>
      <c r="AR61" t="e">
        <f>(2013 - Y61)*#REF!</f>
        <v>#REF!</v>
      </c>
      <c r="AS61" s="11" t="e">
        <f>#REF! / 'RISK (2 old)'!Z61</f>
        <v>#REF!</v>
      </c>
      <c r="AT61" t="e">
        <f>(DATE(2013,6,1) - AA61) *#REF!</f>
        <v>#REF!</v>
      </c>
      <c r="AU61" t="e">
        <f>AB61*#REF!</f>
        <v>#REF!</v>
      </c>
      <c r="AW61">
        <f xml:space="preserve"> IF(AC61 = "", 1,#REF!)</f>
        <v>1</v>
      </c>
      <c r="AX61">
        <v>1</v>
      </c>
      <c r="AZ61" s="48" t="e">
        <f t="shared" si="1"/>
        <v>#REF!</v>
      </c>
      <c r="BA61" s="48" t="e">
        <f t="shared" si="2"/>
        <v>#REF!</v>
      </c>
      <c r="BB61" s="48" t="e">
        <f t="shared" si="3"/>
        <v>#REF!</v>
      </c>
    </row>
    <row r="62" spans="2:54" x14ac:dyDescent="0.25">
      <c r="B62" s="9" t="s">
        <v>79</v>
      </c>
      <c r="C62" s="2">
        <v>0</v>
      </c>
      <c r="D62" s="2">
        <v>0</v>
      </c>
      <c r="E62" s="87"/>
      <c r="F62" s="5"/>
      <c r="G62" s="5">
        <v>16</v>
      </c>
      <c r="H62" s="13">
        <v>10.75</v>
      </c>
      <c r="I62" s="2">
        <v>8.625</v>
      </c>
      <c r="J62" s="12">
        <v>16</v>
      </c>
      <c r="K62" s="5">
        <v>2</v>
      </c>
      <c r="L62" s="2">
        <v>24</v>
      </c>
      <c r="M62" s="13">
        <f t="shared" si="13"/>
        <v>0</v>
      </c>
      <c r="N62" s="13">
        <f t="shared" si="13"/>
        <v>0</v>
      </c>
      <c r="O62" s="14">
        <f t="shared" si="0"/>
        <v>10.75</v>
      </c>
      <c r="P62" s="13">
        <v>1</v>
      </c>
      <c r="Q62" s="13"/>
      <c r="R62" t="s">
        <v>17</v>
      </c>
      <c r="U62" t="s">
        <v>4</v>
      </c>
      <c r="X62" t="s">
        <v>18</v>
      </c>
      <c r="Y62">
        <v>1970</v>
      </c>
      <c r="Z62">
        <v>0.23200000000000001</v>
      </c>
      <c r="AA62" s="20">
        <v>41222</v>
      </c>
      <c r="AB62" s="21">
        <v>0.28739999999999999</v>
      </c>
      <c r="AC62" s="21"/>
      <c r="AE62" s="11" t="e">
        <f>O62*#REF!</f>
        <v>#REF!</v>
      </c>
      <c r="AF62" t="e">
        <f>IF(#REF! = "DOT",#REF!, 0) + IF(#REF! = "USCG",#REF!, 0)</f>
        <v>#REF!</v>
      </c>
      <c r="AG62" t="e">
        <f>IF(#REF! = "Yes",#REF!, 0) + IF(#REF! = "Yes",#REF!, 0)</f>
        <v>#REF!</v>
      </c>
      <c r="AH62" t="e">
        <f>P62*#REF!</f>
        <v>#REF!</v>
      </c>
      <c r="AI62" t="e">
        <f>Q62*#REF!</f>
        <v>#REF!</v>
      </c>
      <c r="AJ62">
        <f>IF(R62 = "Butane",#REF!, 0) + IF(R62 = "Avjet",#REF!, 0) + IF(R62 = "Avgas",#REF!, 0)</f>
        <v>0</v>
      </c>
      <c r="AK62" t="e">
        <f>IF(T62 = "Yes",#REF!, 0 )  +  IF(U62 = "Yes",#REF!, 0 )</f>
        <v>#REF!</v>
      </c>
      <c r="AM62" t="e">
        <f>P62*#REF!</f>
        <v>#REF!</v>
      </c>
      <c r="AN62">
        <v>1</v>
      </c>
      <c r="AO62" t="e">
        <f>#REF!</f>
        <v>#REF!</v>
      </c>
      <c r="AP62" t="e">
        <f>W62*#REF!</f>
        <v>#REF!</v>
      </c>
      <c r="AQ62" t="e">
        <f>IF(X62 = "Hi Temp",#REF!, 0)</f>
        <v>#REF!</v>
      </c>
      <c r="AR62" t="e">
        <f>(2013 - Y62)*#REF!</f>
        <v>#REF!</v>
      </c>
      <c r="AS62" s="11" t="e">
        <f>#REF! / 'RISK (2 old)'!Z62</f>
        <v>#REF!</v>
      </c>
      <c r="AT62" t="e">
        <f>(DATE(2013,6,1) - AA62) *#REF!</f>
        <v>#REF!</v>
      </c>
      <c r="AU62" t="e">
        <f>AB62*#REF!</f>
        <v>#REF!</v>
      </c>
      <c r="AW62">
        <f xml:space="preserve"> IF(AC62 = "", 1,#REF!)</f>
        <v>1</v>
      </c>
      <c r="AX62">
        <v>1</v>
      </c>
      <c r="AZ62" s="48" t="e">
        <f t="shared" si="1"/>
        <v>#REF!</v>
      </c>
      <c r="BA62" s="48" t="e">
        <f t="shared" si="2"/>
        <v>#REF!</v>
      </c>
      <c r="BB62" s="48" t="e">
        <f t="shared" si="3"/>
        <v>#REF!</v>
      </c>
    </row>
    <row r="63" spans="2:54" x14ac:dyDescent="0.25">
      <c r="B63" s="9" t="s">
        <v>80</v>
      </c>
      <c r="C63" s="2">
        <v>0</v>
      </c>
      <c r="D63" s="2">
        <v>0</v>
      </c>
      <c r="E63" s="87"/>
      <c r="F63" s="5"/>
      <c r="G63" s="5">
        <v>16</v>
      </c>
      <c r="H63" s="13">
        <f>H62</f>
        <v>10.75</v>
      </c>
      <c r="I63" s="2"/>
      <c r="J63" s="12">
        <v>16</v>
      </c>
      <c r="K63" s="5">
        <v>2</v>
      </c>
      <c r="L63" s="2">
        <v>24</v>
      </c>
      <c r="M63" s="13">
        <f t="shared" si="13"/>
        <v>0</v>
      </c>
      <c r="N63" s="13">
        <f t="shared" si="13"/>
        <v>0</v>
      </c>
      <c r="O63" s="14">
        <f t="shared" si="0"/>
        <v>10.75</v>
      </c>
      <c r="P63" s="13">
        <v>1</v>
      </c>
      <c r="Q63" s="13"/>
      <c r="R63" t="s">
        <v>17</v>
      </c>
      <c r="U63" t="s">
        <v>4</v>
      </c>
      <c r="W63">
        <v>2</v>
      </c>
      <c r="X63" t="s">
        <v>18</v>
      </c>
      <c r="Y63">
        <v>1930</v>
      </c>
      <c r="Z63">
        <v>0.28000000000000003</v>
      </c>
      <c r="AA63" s="20">
        <v>41149</v>
      </c>
      <c r="AB63" s="21">
        <v>0.29759999999999998</v>
      </c>
      <c r="AC63" s="21"/>
      <c r="AE63" s="11" t="e">
        <f>O63*#REF!</f>
        <v>#REF!</v>
      </c>
      <c r="AF63" t="e">
        <f>IF(#REF! = "DOT",#REF!, 0) + IF(#REF! = "USCG",#REF!, 0)</f>
        <v>#REF!</v>
      </c>
      <c r="AG63" t="e">
        <f>IF(#REF! = "Yes",#REF!, 0) + IF(#REF! = "Yes",#REF!, 0)</f>
        <v>#REF!</v>
      </c>
      <c r="AH63" t="e">
        <f>P63*#REF!</f>
        <v>#REF!</v>
      </c>
      <c r="AI63" t="e">
        <f>Q63*#REF!</f>
        <v>#REF!</v>
      </c>
      <c r="AJ63">
        <f>IF(R63 = "Butane",#REF!, 0) + IF(R63 = "Avjet",#REF!, 0) + IF(R63 = "Avgas",#REF!, 0)</f>
        <v>0</v>
      </c>
      <c r="AK63" t="e">
        <f>IF(T63 = "Yes",#REF!, 0 )  +  IF(U63 = "Yes",#REF!, 0 )</f>
        <v>#REF!</v>
      </c>
      <c r="AM63" t="e">
        <f>P63*#REF!</f>
        <v>#REF!</v>
      </c>
      <c r="AN63">
        <v>1</v>
      </c>
      <c r="AO63" t="e">
        <f>#REF!</f>
        <v>#REF!</v>
      </c>
      <c r="AP63" t="e">
        <f>W63*#REF!</f>
        <v>#REF!</v>
      </c>
      <c r="AQ63" t="e">
        <f>IF(X63 = "Hi Temp",#REF!, 0)</f>
        <v>#REF!</v>
      </c>
      <c r="AR63" t="e">
        <f>(2013 - Y63)*#REF!</f>
        <v>#REF!</v>
      </c>
      <c r="AS63" s="11" t="e">
        <f>#REF! / 'RISK (2 old)'!Z63</f>
        <v>#REF!</v>
      </c>
      <c r="AT63" t="e">
        <f>(DATE(2013,6,1) - AA63) *#REF!</f>
        <v>#REF!</v>
      </c>
      <c r="AU63" t="e">
        <f>AB63*#REF!</f>
        <v>#REF!</v>
      </c>
      <c r="AW63">
        <f xml:space="preserve"> IF(AC63 = "", 1,#REF!)</f>
        <v>1</v>
      </c>
      <c r="AX63">
        <v>1</v>
      </c>
      <c r="AZ63" s="48" t="e">
        <f t="shared" si="1"/>
        <v>#REF!</v>
      </c>
      <c r="BA63" s="48" t="e">
        <f t="shared" si="2"/>
        <v>#REF!</v>
      </c>
      <c r="BB63" s="48" t="e">
        <f t="shared" si="3"/>
        <v>#REF!</v>
      </c>
    </row>
    <row r="64" spans="2:54" x14ac:dyDescent="0.25">
      <c r="B64" s="9" t="s">
        <v>81</v>
      </c>
      <c r="C64" s="2">
        <v>0</v>
      </c>
      <c r="D64" s="2">
        <v>0</v>
      </c>
      <c r="E64" s="87"/>
      <c r="F64" s="5"/>
      <c r="G64" s="5">
        <v>6.625</v>
      </c>
      <c r="H64" s="13">
        <v>7.6</v>
      </c>
      <c r="I64" s="2"/>
      <c r="J64" s="12">
        <v>6</v>
      </c>
      <c r="K64" s="5">
        <v>2</v>
      </c>
      <c r="L64" s="2">
        <v>24</v>
      </c>
      <c r="M64" s="13">
        <f t="shared" si="13"/>
        <v>0</v>
      </c>
      <c r="N64" s="13">
        <f t="shared" si="13"/>
        <v>0</v>
      </c>
      <c r="O64" s="14">
        <f t="shared" si="0"/>
        <v>7.6</v>
      </c>
      <c r="P64" s="13">
        <v>1</v>
      </c>
      <c r="Q64" s="13"/>
      <c r="R64" t="s">
        <v>17</v>
      </c>
      <c r="U64" t="s">
        <v>4</v>
      </c>
      <c r="X64" t="s">
        <v>18</v>
      </c>
      <c r="Y64">
        <v>1935</v>
      </c>
      <c r="Z64">
        <v>0.28499999999999998</v>
      </c>
      <c r="AA64" s="20">
        <v>41069</v>
      </c>
      <c r="AB64" s="21">
        <v>0.1211</v>
      </c>
      <c r="AC64" s="21"/>
      <c r="AE64" s="11" t="e">
        <f>O64*#REF!</f>
        <v>#REF!</v>
      </c>
      <c r="AF64" t="e">
        <f>IF(#REF! = "DOT",#REF!, 0) + IF(#REF! = "USCG",#REF!, 0)</f>
        <v>#REF!</v>
      </c>
      <c r="AG64" t="e">
        <f>IF(#REF! = "Yes",#REF!, 0) + IF(#REF! = "Yes",#REF!, 0)</f>
        <v>#REF!</v>
      </c>
      <c r="AH64" t="e">
        <f>P64*#REF!</f>
        <v>#REF!</v>
      </c>
      <c r="AI64" t="e">
        <f>Q64*#REF!</f>
        <v>#REF!</v>
      </c>
      <c r="AJ64">
        <f>IF(R64 = "Butane",#REF!, 0) + IF(R64 = "Avjet",#REF!, 0) + IF(R64 = "Avgas",#REF!, 0)</f>
        <v>0</v>
      </c>
      <c r="AK64" t="e">
        <f>IF(T64 = "Yes",#REF!, 0 )  +  IF(U64 = "Yes",#REF!, 0 )</f>
        <v>#REF!</v>
      </c>
      <c r="AM64" t="e">
        <f>P64*#REF!</f>
        <v>#REF!</v>
      </c>
      <c r="AN64">
        <v>1</v>
      </c>
      <c r="AO64" t="e">
        <f>#REF!</f>
        <v>#REF!</v>
      </c>
      <c r="AP64" t="e">
        <f>W64*#REF!</f>
        <v>#REF!</v>
      </c>
      <c r="AQ64" t="e">
        <f>IF(X64 = "Hi Temp",#REF!, 0)</f>
        <v>#REF!</v>
      </c>
      <c r="AR64" t="e">
        <f>(2013 - Y64)*#REF!</f>
        <v>#REF!</v>
      </c>
      <c r="AS64" s="11" t="e">
        <f>#REF! / 'RISK (2 old)'!Z64</f>
        <v>#REF!</v>
      </c>
      <c r="AT64" t="e">
        <f>(DATE(2013,6,1) - AA64) *#REF!</f>
        <v>#REF!</v>
      </c>
      <c r="AU64" t="e">
        <f>AB64*#REF!</f>
        <v>#REF!</v>
      </c>
      <c r="AW64">
        <f xml:space="preserve"> IF(AC64 = "", 1,#REF!)</f>
        <v>1</v>
      </c>
      <c r="AX64">
        <v>1</v>
      </c>
      <c r="AZ64" s="48" t="e">
        <f t="shared" si="1"/>
        <v>#REF!</v>
      </c>
      <c r="BA64" s="48" t="e">
        <f t="shared" si="2"/>
        <v>#REF!</v>
      </c>
      <c r="BB64" s="48" t="e">
        <f t="shared" si="3"/>
        <v>#REF!</v>
      </c>
    </row>
    <row r="65" spans="2:54" x14ac:dyDescent="0.25">
      <c r="B65" s="9" t="s">
        <v>82</v>
      </c>
      <c r="C65" s="2">
        <v>0</v>
      </c>
      <c r="D65" s="2">
        <v>0</v>
      </c>
      <c r="E65" s="87"/>
      <c r="F65" s="5"/>
      <c r="G65" s="5">
        <v>6.625</v>
      </c>
      <c r="H65" s="13">
        <v>7.6</v>
      </c>
      <c r="I65" s="2"/>
      <c r="J65" s="12">
        <v>6</v>
      </c>
      <c r="K65" s="5">
        <v>2</v>
      </c>
      <c r="L65" s="2">
        <v>24</v>
      </c>
      <c r="M65" s="13">
        <f t="shared" si="13"/>
        <v>0</v>
      </c>
      <c r="N65" s="13">
        <f t="shared" si="13"/>
        <v>0</v>
      </c>
      <c r="O65" s="14">
        <f t="shared" si="0"/>
        <v>7.6</v>
      </c>
      <c r="P65" s="13">
        <v>1</v>
      </c>
      <c r="Q65" s="13"/>
      <c r="R65" t="s">
        <v>2</v>
      </c>
      <c r="U65" t="s">
        <v>4</v>
      </c>
      <c r="Y65">
        <v>1930</v>
      </c>
      <c r="Z65">
        <v>0.28699999999999998</v>
      </c>
      <c r="AA65" s="20"/>
      <c r="AB65" s="21">
        <v>0.1202</v>
      </c>
      <c r="AC65" s="21"/>
      <c r="AE65" s="11" t="e">
        <f>O65*#REF!</f>
        <v>#REF!</v>
      </c>
      <c r="AF65" t="e">
        <f>IF(#REF! = "DOT",#REF!, 0) + IF(#REF! = "USCG",#REF!, 0)</f>
        <v>#REF!</v>
      </c>
      <c r="AG65" t="e">
        <f>IF(#REF! = "Yes",#REF!, 0) + IF(#REF! = "Yes",#REF!, 0)</f>
        <v>#REF!</v>
      </c>
      <c r="AH65" t="e">
        <f>P65*#REF!</f>
        <v>#REF!</v>
      </c>
      <c r="AI65" t="e">
        <f>Q65*#REF!</f>
        <v>#REF!</v>
      </c>
      <c r="AJ65">
        <f>IF(R65 = "Butane",#REF!, 0) + IF(R65 = "Avjet",#REF!, 0) + IF(R65 = "Avgas",#REF!, 0)</f>
        <v>0</v>
      </c>
      <c r="AK65" t="e">
        <f>IF(T65 = "Yes",#REF!, 0 )  +  IF(U65 = "Yes",#REF!, 0 )</f>
        <v>#REF!</v>
      </c>
      <c r="AM65" t="e">
        <f>P65*#REF!</f>
        <v>#REF!</v>
      </c>
      <c r="AN65">
        <v>1</v>
      </c>
      <c r="AO65" t="e">
        <f>#REF!</f>
        <v>#REF!</v>
      </c>
      <c r="AP65" t="e">
        <f>W65*#REF!</f>
        <v>#REF!</v>
      </c>
      <c r="AQ65">
        <f>IF(X65 = "Hi Temp",#REF!, 0)</f>
        <v>0</v>
      </c>
      <c r="AR65" t="e">
        <f>(2013 - Y65)*#REF!</f>
        <v>#REF!</v>
      </c>
      <c r="AS65" s="11" t="e">
        <f>#REF! / 'RISK (2 old)'!Z65</f>
        <v>#REF!</v>
      </c>
      <c r="AT65" t="e">
        <f>(DATE(2013,6,1) - AA65) *#REF!</f>
        <v>#REF!</v>
      </c>
      <c r="AU65" t="e">
        <f>AB65*#REF!</f>
        <v>#REF!</v>
      </c>
      <c r="AW65">
        <f xml:space="preserve"> IF(AC65 = "", 1,#REF!)</f>
        <v>1</v>
      </c>
      <c r="AX65">
        <v>1</v>
      </c>
      <c r="AZ65" s="48" t="e">
        <f t="shared" si="1"/>
        <v>#REF!</v>
      </c>
      <c r="BA65" s="48" t="e">
        <f t="shared" si="2"/>
        <v>#REF!</v>
      </c>
      <c r="BB65" s="48" t="e">
        <f t="shared" si="3"/>
        <v>#REF!</v>
      </c>
    </row>
    <row r="66" spans="2:54" x14ac:dyDescent="0.25">
      <c r="B66" s="9" t="s">
        <v>83</v>
      </c>
      <c r="C66" s="2">
        <v>0</v>
      </c>
      <c r="D66" s="2">
        <v>0</v>
      </c>
      <c r="E66" s="87"/>
      <c r="F66" s="5"/>
      <c r="G66" s="5">
        <v>6.625</v>
      </c>
      <c r="H66" s="13">
        <v>7.6</v>
      </c>
      <c r="I66" s="2"/>
      <c r="J66" s="12">
        <v>6</v>
      </c>
      <c r="K66" s="5">
        <v>2</v>
      </c>
      <c r="L66" s="2">
        <v>24</v>
      </c>
      <c r="M66" s="13">
        <f t="shared" si="13"/>
        <v>0</v>
      </c>
      <c r="N66" s="13">
        <f t="shared" si="13"/>
        <v>0</v>
      </c>
      <c r="O66" s="14">
        <f t="shared" si="0"/>
        <v>7.6</v>
      </c>
      <c r="P66" s="13">
        <v>1</v>
      </c>
      <c r="Q66" s="13"/>
      <c r="R66" t="s">
        <v>84</v>
      </c>
      <c r="U66" t="s">
        <v>4</v>
      </c>
      <c r="X66" t="s">
        <v>18</v>
      </c>
      <c r="Y66">
        <v>1920</v>
      </c>
      <c r="Z66">
        <v>0.28999999999999998</v>
      </c>
      <c r="AA66" s="20">
        <v>41015</v>
      </c>
      <c r="AB66" s="21">
        <v>0.11899999999999999</v>
      </c>
      <c r="AC66" s="21"/>
      <c r="AE66" s="11" t="e">
        <f>O66*#REF!</f>
        <v>#REF!</v>
      </c>
      <c r="AF66" t="e">
        <f>IF(#REF! = "DOT",#REF!, 0) + IF(#REF! = "USCG",#REF!, 0)</f>
        <v>#REF!</v>
      </c>
      <c r="AG66" t="e">
        <f>IF(#REF! = "Yes",#REF!, 0) + IF(#REF! = "Yes",#REF!, 0)</f>
        <v>#REF!</v>
      </c>
      <c r="AH66" t="e">
        <f>P66*#REF!</f>
        <v>#REF!</v>
      </c>
      <c r="AI66" t="e">
        <f>Q66*#REF!</f>
        <v>#REF!</v>
      </c>
      <c r="AJ66" t="e">
        <f>#REF!</f>
        <v>#REF!</v>
      </c>
      <c r="AK66" t="e">
        <f>IF(T66 = "Yes",#REF!, 0 )  +  IF(U66 = "Yes",#REF!, 0 )</f>
        <v>#REF!</v>
      </c>
      <c r="AM66" t="e">
        <f>P66*#REF!</f>
        <v>#REF!</v>
      </c>
      <c r="AN66">
        <v>1</v>
      </c>
      <c r="AO66" t="e">
        <f>#REF!</f>
        <v>#REF!</v>
      </c>
      <c r="AP66" t="e">
        <f>W66*#REF!</f>
        <v>#REF!</v>
      </c>
      <c r="AQ66" t="e">
        <f>IF(X66 = "Hi Temp",#REF!, 0)</f>
        <v>#REF!</v>
      </c>
      <c r="AR66" t="e">
        <f>(2013 - Y66)*#REF!</f>
        <v>#REF!</v>
      </c>
      <c r="AS66" s="11" t="e">
        <f>#REF! / 'RISK (2 old)'!Z66</f>
        <v>#REF!</v>
      </c>
      <c r="AT66" t="e">
        <f>(DATE(2013,6,1) - AA66) *#REF!</f>
        <v>#REF!</v>
      </c>
      <c r="AU66" t="e">
        <f>AB66*#REF!</f>
        <v>#REF!</v>
      </c>
      <c r="AW66">
        <f xml:space="preserve"> IF(AC66 = "", 1,#REF!)</f>
        <v>1</v>
      </c>
      <c r="AX66">
        <v>1</v>
      </c>
      <c r="AZ66" s="48" t="e">
        <f t="shared" si="1"/>
        <v>#REF!</v>
      </c>
      <c r="BA66" s="48" t="e">
        <f t="shared" si="2"/>
        <v>#REF!</v>
      </c>
      <c r="BB66" s="48" t="e">
        <f t="shared" si="3"/>
        <v>#REF!</v>
      </c>
    </row>
    <row r="67" spans="2:54" x14ac:dyDescent="0.25">
      <c r="B67" s="9" t="s">
        <v>85</v>
      </c>
      <c r="C67" s="2">
        <v>0</v>
      </c>
      <c r="D67" s="2">
        <v>0</v>
      </c>
      <c r="E67" s="87"/>
      <c r="F67" s="5"/>
      <c r="G67" s="5">
        <v>8.625</v>
      </c>
      <c r="H67" s="13">
        <v>7.6</v>
      </c>
      <c r="I67" s="2"/>
      <c r="J67" s="12">
        <v>6</v>
      </c>
      <c r="K67" s="5">
        <v>2</v>
      </c>
      <c r="L67" s="2">
        <v>24</v>
      </c>
      <c r="M67" s="13">
        <f t="shared" si="13"/>
        <v>0</v>
      </c>
      <c r="N67" s="13">
        <f t="shared" si="13"/>
        <v>0</v>
      </c>
      <c r="O67" s="14">
        <f t="shared" si="0"/>
        <v>7.6</v>
      </c>
      <c r="P67" s="13">
        <v>1</v>
      </c>
      <c r="Q67" s="13"/>
      <c r="R67" t="s">
        <v>86</v>
      </c>
      <c r="U67" t="s">
        <v>4</v>
      </c>
      <c r="Y67">
        <v>1940</v>
      </c>
      <c r="Z67">
        <v>0.32400000000000001</v>
      </c>
      <c r="AA67" s="20">
        <v>41008</v>
      </c>
      <c r="AB67" s="21">
        <v>0.1386</v>
      </c>
      <c r="AC67" s="21"/>
      <c r="AE67" s="11" t="e">
        <f>O67*#REF!</f>
        <v>#REF!</v>
      </c>
      <c r="AF67" t="e">
        <f>IF(#REF! = "DOT",#REF!, 0) + IF(#REF! = "USCG",#REF!, 0)</f>
        <v>#REF!</v>
      </c>
      <c r="AG67" t="e">
        <f>IF(#REF! = "Yes",#REF!, 0) + IF(#REF! = "Yes",#REF!, 0)</f>
        <v>#REF!</v>
      </c>
      <c r="AH67" t="e">
        <f>P67*#REF!</f>
        <v>#REF!</v>
      </c>
      <c r="AI67" t="e">
        <f>Q67*#REF!</f>
        <v>#REF!</v>
      </c>
      <c r="AJ67">
        <f>IF(R67 = "Butane",#REF!, 0) + IF(R67 = "Avjet",#REF!, 0) + IF(R67 = "Avgas",#REF!, 0)</f>
        <v>0</v>
      </c>
      <c r="AK67" t="e">
        <f>IF(T67 = "Yes",#REF!, 0 )  +  IF(U67 = "Yes",#REF!, 0 )</f>
        <v>#REF!</v>
      </c>
      <c r="AM67" t="e">
        <f>P67*#REF!</f>
        <v>#REF!</v>
      </c>
      <c r="AN67">
        <v>1</v>
      </c>
      <c r="AO67" t="e">
        <f>#REF!</f>
        <v>#REF!</v>
      </c>
      <c r="AP67" t="e">
        <f>W67*#REF!</f>
        <v>#REF!</v>
      </c>
      <c r="AQ67">
        <f>IF(X67 = "Hi Temp",#REF!, 0)</f>
        <v>0</v>
      </c>
      <c r="AR67" t="e">
        <f>(2013 - Y67)*#REF!</f>
        <v>#REF!</v>
      </c>
      <c r="AS67" s="11" t="e">
        <f>#REF! / 'RISK (2 old)'!Z67</f>
        <v>#REF!</v>
      </c>
      <c r="AT67" t="e">
        <f>(DATE(2013,6,1) - AA67) *#REF!</f>
        <v>#REF!</v>
      </c>
      <c r="AU67" t="e">
        <f>AB67*#REF!</f>
        <v>#REF!</v>
      </c>
      <c r="AW67">
        <f xml:space="preserve"> IF(AC67 = "", 1,#REF!)</f>
        <v>1</v>
      </c>
      <c r="AX67">
        <v>1</v>
      </c>
      <c r="AZ67" s="48" t="e">
        <f t="shared" si="1"/>
        <v>#REF!</v>
      </c>
      <c r="BA67" s="48" t="e">
        <f t="shared" si="2"/>
        <v>#REF!</v>
      </c>
      <c r="BB67" s="48" t="e">
        <f t="shared" si="3"/>
        <v>#REF!</v>
      </c>
    </row>
    <row r="68" spans="2:54" x14ac:dyDescent="0.25">
      <c r="B68" s="16"/>
      <c r="C68" s="2"/>
      <c r="D68" s="2"/>
      <c r="E68" s="5"/>
      <c r="F68" s="5"/>
      <c r="G68" s="5"/>
      <c r="H68" s="2"/>
      <c r="I68" s="2"/>
      <c r="J68" s="5"/>
      <c r="K68" s="5"/>
      <c r="L68" s="2"/>
      <c r="M68" s="13"/>
      <c r="N68" s="13"/>
      <c r="O68" s="14"/>
      <c r="P68" s="14"/>
      <c r="Q68" s="14"/>
      <c r="R68" s="14"/>
      <c r="S68" s="14"/>
      <c r="T68" s="14"/>
      <c r="U68" s="14"/>
      <c r="V68" s="14"/>
      <c r="W68" s="14"/>
      <c r="AA68" s="20"/>
      <c r="AB68" s="21"/>
      <c r="AC68" s="21"/>
    </row>
    <row r="69" spans="2:54" x14ac:dyDescent="0.25">
      <c r="AA69" s="20"/>
      <c r="AB69" s="21"/>
      <c r="AC69" s="21"/>
    </row>
    <row r="70" spans="2:54" x14ac:dyDescent="0.25">
      <c r="B70" s="10"/>
    </row>
  </sheetData>
  <mergeCells count="8">
    <mergeCell ref="E51:E67"/>
    <mergeCell ref="AE4:AK4"/>
    <mergeCell ref="AM4:AX4"/>
    <mergeCell ref="AZ4:BB4"/>
    <mergeCell ref="C5:D5"/>
    <mergeCell ref="E5:F5"/>
    <mergeCell ref="K5:L5"/>
    <mergeCell ref="M5:N5"/>
  </mergeCells>
  <conditionalFormatting sqref="BB6:BB11 BB18 BB20:BB23 BB25:BB28 BB31:BB33 BB35:BB36 BB38:BB41 BB43:BB46 BB51:BB67 BB13:BB16">
    <cfRule type="colorScale" priority="2">
      <colorScale>
        <cfvo type="percentile" val="20"/>
        <cfvo type="percentile" val="50"/>
        <cfvo type="percentile" val="85"/>
        <color rgb="FF008000"/>
        <color rgb="FFFFEB84"/>
        <color rgb="FFFF6600"/>
      </colorScale>
    </cfRule>
  </conditionalFormatting>
  <conditionalFormatting sqref="BB12">
    <cfRule type="colorScale" priority="1">
      <colorScale>
        <cfvo type="percentile" val="20"/>
        <cfvo type="percentile" val="50"/>
        <cfvo type="percentile" val="85"/>
        <color rgb="FF008000"/>
        <color rgb="FFFFEB84"/>
        <color rgb="FFFF6600"/>
      </colorScale>
    </cfRule>
  </conditionalFormatting>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G32"/>
  <sheetViews>
    <sheetView showGridLines="0" tabSelected="1" workbookViewId="0">
      <selection activeCell="A17" sqref="A17:G17"/>
    </sheetView>
  </sheetViews>
  <sheetFormatPr defaultColWidth="11.42578125" defaultRowHeight="15" x14ac:dyDescent="0.25"/>
  <sheetData>
    <row r="2" spans="1:7" ht="22.5" customHeight="1" x14ac:dyDescent="0.25">
      <c r="A2" s="95" t="s">
        <v>276</v>
      </c>
      <c r="B2" s="95"/>
      <c r="C2" s="95"/>
      <c r="D2" s="95"/>
      <c r="E2" s="95"/>
      <c r="F2" s="95"/>
      <c r="G2" s="95"/>
    </row>
    <row r="3" spans="1:7" ht="21" customHeight="1" x14ac:dyDescent="0.25">
      <c r="A3" s="95" t="s">
        <v>275</v>
      </c>
      <c r="B3" s="95"/>
      <c r="C3" s="95"/>
      <c r="D3" s="95"/>
      <c r="E3" s="95"/>
      <c r="F3" s="95"/>
      <c r="G3" s="95"/>
    </row>
    <row r="4" spans="1:7" ht="21.75" customHeight="1" x14ac:dyDescent="0.25">
      <c r="A4" s="95" t="s">
        <v>274</v>
      </c>
      <c r="B4" s="95"/>
      <c r="C4" s="95"/>
      <c r="D4" s="95"/>
      <c r="E4" s="95"/>
      <c r="F4" s="95"/>
      <c r="G4" s="95"/>
    </row>
    <row r="5" spans="1:7" ht="22.5" customHeight="1" x14ac:dyDescent="0.25">
      <c r="A5" s="95" t="s">
        <v>278</v>
      </c>
      <c r="B5" s="95"/>
      <c r="C5" s="95"/>
      <c r="D5" s="95"/>
      <c r="E5" s="95"/>
      <c r="F5" s="95"/>
      <c r="G5" s="95"/>
    </row>
    <row r="9" spans="1:7" x14ac:dyDescent="0.25">
      <c r="A9" t="s">
        <v>273</v>
      </c>
    </row>
    <row r="10" spans="1:7" x14ac:dyDescent="0.25">
      <c r="A10" t="s">
        <v>272</v>
      </c>
    </row>
    <row r="11" spans="1:7" x14ac:dyDescent="0.25">
      <c r="A11" t="s">
        <v>271</v>
      </c>
    </row>
    <row r="12" spans="1:7" x14ac:dyDescent="0.25">
      <c r="A12" t="s">
        <v>270</v>
      </c>
    </row>
    <row r="13" spans="1:7" x14ac:dyDescent="0.25">
      <c r="A13" s="83" t="s">
        <v>269</v>
      </c>
    </row>
    <row r="17" spans="1:7" ht="171.75" customHeight="1" x14ac:dyDescent="0.25">
      <c r="A17" s="96" t="s">
        <v>277</v>
      </c>
      <c r="B17" s="97"/>
      <c r="C17" s="97"/>
      <c r="D17" s="97"/>
      <c r="E17" s="97"/>
      <c r="F17" s="97"/>
      <c r="G17" s="97"/>
    </row>
    <row r="18" spans="1:7" x14ac:dyDescent="0.25">
      <c r="A18" s="95"/>
      <c r="B18" s="95"/>
      <c r="C18" s="95"/>
      <c r="D18" s="95"/>
      <c r="E18" s="95"/>
      <c r="F18" s="95"/>
      <c r="G18" s="95"/>
    </row>
    <row r="19" spans="1:7" x14ac:dyDescent="0.25">
      <c r="A19" s="95"/>
      <c r="B19" s="95"/>
      <c r="C19" s="95"/>
      <c r="D19" s="95"/>
      <c r="E19" s="95"/>
      <c r="F19" s="95"/>
      <c r="G19" s="95"/>
    </row>
    <row r="20" spans="1:7" x14ac:dyDescent="0.25">
      <c r="A20" s="95"/>
      <c r="B20" s="95"/>
      <c r="C20" s="95"/>
      <c r="D20" s="95"/>
      <c r="E20" s="95"/>
      <c r="F20" s="95"/>
      <c r="G20" s="95"/>
    </row>
    <row r="21" spans="1:7" x14ac:dyDescent="0.25">
      <c r="A21" s="95"/>
      <c r="B21" s="95"/>
      <c r="C21" s="95"/>
      <c r="D21" s="95"/>
      <c r="E21" s="95"/>
      <c r="F21" s="95"/>
      <c r="G21" s="95"/>
    </row>
    <row r="32" spans="1:7" ht="15.75" x14ac:dyDescent="0.25">
      <c r="B32" s="74"/>
    </row>
  </sheetData>
  <mergeCells count="9">
    <mergeCell ref="A18:G18"/>
    <mergeCell ref="A19:G19"/>
    <mergeCell ref="A20:G20"/>
    <mergeCell ref="A21:G21"/>
    <mergeCell ref="A2:G2"/>
    <mergeCell ref="A3:G3"/>
    <mergeCell ref="A4:G4"/>
    <mergeCell ref="A5:G5"/>
    <mergeCell ref="A17:G17"/>
  </mergeCells>
  <hyperlinks>
    <hyperlink ref="A13" r:id="rId1"/>
  </hyperlinks>
  <pageMargins left="0.75" right="0.75" top="1" bottom="1" header="0.5" footer="0.5"/>
  <pageSetup orientation="portrait" horizontalDpi="4294967292" verticalDpi="4294967292"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B1:BB52"/>
  <sheetViews>
    <sheetView view="pageLayout" zoomScaleNormal="100" workbookViewId="0">
      <selection activeCell="B5" sqref="B5"/>
    </sheetView>
  </sheetViews>
  <sheetFormatPr defaultColWidth="11.42578125" defaultRowHeight="15" x14ac:dyDescent="0.25"/>
  <cols>
    <col min="1" max="1" width="26.140625" customWidth="1"/>
    <col min="2" max="2" width="29.28515625" style="1" customWidth="1"/>
    <col min="3" max="15" width="9.85546875" customWidth="1"/>
    <col min="16" max="16" width="11.28515625" bestFit="1" customWidth="1"/>
    <col min="17" max="18" width="11.28515625" customWidth="1"/>
    <col min="19" max="19" width="9.85546875" customWidth="1"/>
    <col min="30" max="30" width="12.140625" bestFit="1" customWidth="1"/>
  </cols>
  <sheetData>
    <row r="1" spans="2:54" x14ac:dyDescent="0.2">
      <c r="B1"/>
    </row>
    <row r="2" spans="2:54" x14ac:dyDescent="0.2">
      <c r="B2"/>
    </row>
    <row r="3" spans="2:54" x14ac:dyDescent="0.2">
      <c r="B3"/>
      <c r="U3" s="98" t="s">
        <v>201</v>
      </c>
      <c r="V3" s="98"/>
      <c r="W3" s="98"/>
      <c r="X3" s="98"/>
      <c r="Y3" s="98"/>
      <c r="Z3" s="98"/>
      <c r="AA3" s="98"/>
      <c r="AB3" s="98"/>
      <c r="AC3" s="98"/>
      <c r="AD3" s="98"/>
      <c r="AE3" s="98"/>
      <c r="AF3" s="98"/>
      <c r="AG3" s="98"/>
      <c r="AH3" s="98"/>
      <c r="AI3" s="98"/>
      <c r="AJ3" s="98"/>
      <c r="AK3" s="98"/>
    </row>
    <row r="4" spans="2:54" ht="45" x14ac:dyDescent="0.2">
      <c r="B4"/>
      <c r="U4" s="65" t="s">
        <v>222</v>
      </c>
      <c r="W4" s="65" t="s">
        <v>223</v>
      </c>
      <c r="Y4" s="65" t="s">
        <v>116</v>
      </c>
      <c r="AA4" s="65" t="s">
        <v>119</v>
      </c>
      <c r="AC4" s="65" t="s">
        <v>224</v>
      </c>
      <c r="AE4" s="65" t="s">
        <v>225</v>
      </c>
      <c r="AG4" s="65" t="s">
        <v>226</v>
      </c>
      <c r="AI4" s="65" t="s">
        <v>120</v>
      </c>
      <c r="AK4" s="65" t="s">
        <v>124</v>
      </c>
      <c r="AM4" s="65" t="s">
        <v>227</v>
      </c>
      <c r="AO4" s="65" t="s">
        <v>228</v>
      </c>
      <c r="AQ4" s="65" t="s">
        <v>192</v>
      </c>
      <c r="AS4" s="65" t="s">
        <v>193</v>
      </c>
      <c r="AU4" s="65" t="s">
        <v>194</v>
      </c>
      <c r="AW4" s="65" t="s">
        <v>195</v>
      </c>
      <c r="AY4" s="65" t="s">
        <v>198</v>
      </c>
      <c r="BA4" s="65" t="s">
        <v>134</v>
      </c>
    </row>
    <row r="5" spans="2:54" x14ac:dyDescent="0.2">
      <c r="B5"/>
    </row>
    <row r="6" spans="2:54" x14ac:dyDescent="0.2">
      <c r="B6"/>
      <c r="U6">
        <v>-10</v>
      </c>
      <c r="V6" t="s">
        <v>229</v>
      </c>
      <c r="W6">
        <v>10</v>
      </c>
      <c r="X6" t="s">
        <v>230</v>
      </c>
      <c r="Y6">
        <v>5</v>
      </c>
      <c r="Z6" t="s">
        <v>231</v>
      </c>
      <c r="AA6">
        <v>5</v>
      </c>
      <c r="AB6" t="s">
        <v>232</v>
      </c>
      <c r="AC6">
        <v>1</v>
      </c>
      <c r="AD6" t="s">
        <v>233</v>
      </c>
      <c r="AE6">
        <v>-10</v>
      </c>
      <c r="AF6" t="s">
        <v>234</v>
      </c>
      <c r="AG6">
        <v>2</v>
      </c>
      <c r="AH6" t="s">
        <v>235</v>
      </c>
      <c r="AI6">
        <v>1</v>
      </c>
      <c r="AJ6" t="s">
        <v>236</v>
      </c>
      <c r="AK6">
        <v>5</v>
      </c>
      <c r="AL6" t="s">
        <v>235</v>
      </c>
      <c r="AM6">
        <v>2</v>
      </c>
      <c r="AN6" t="s">
        <v>237</v>
      </c>
      <c r="AO6">
        <v>10</v>
      </c>
      <c r="AP6" t="s">
        <v>202</v>
      </c>
      <c r="AQ6">
        <v>10</v>
      </c>
      <c r="AR6" t="s">
        <v>202</v>
      </c>
      <c r="AS6">
        <v>10</v>
      </c>
      <c r="AT6" t="s">
        <v>202</v>
      </c>
      <c r="AU6">
        <v>10</v>
      </c>
      <c r="AV6" t="s">
        <v>202</v>
      </c>
      <c r="AW6">
        <v>1</v>
      </c>
      <c r="AX6" t="s">
        <v>203</v>
      </c>
      <c r="AY6">
        <v>10</v>
      </c>
      <c r="AZ6" t="s">
        <v>202</v>
      </c>
      <c r="BA6">
        <v>-10</v>
      </c>
      <c r="BB6" t="s">
        <v>33</v>
      </c>
    </row>
    <row r="7" spans="2:54" x14ac:dyDescent="0.2">
      <c r="B7" s="105" t="s">
        <v>268</v>
      </c>
      <c r="C7" s="105"/>
      <c r="D7" s="105"/>
      <c r="E7" s="105"/>
      <c r="F7" s="105"/>
      <c r="G7" s="105"/>
      <c r="H7" s="105"/>
      <c r="I7" s="105"/>
      <c r="U7">
        <v>-5</v>
      </c>
      <c r="V7" t="s">
        <v>238</v>
      </c>
      <c r="AC7">
        <v>2</v>
      </c>
      <c r="AD7" t="s">
        <v>239</v>
      </c>
      <c r="AI7">
        <v>0.5</v>
      </c>
      <c r="AJ7" t="s">
        <v>240</v>
      </c>
      <c r="BA7">
        <v>-15</v>
      </c>
      <c r="BB7" t="s">
        <v>9</v>
      </c>
    </row>
    <row r="8" spans="2:54" x14ac:dyDescent="0.2">
      <c r="B8" s="105" t="s">
        <v>251</v>
      </c>
      <c r="C8" s="105"/>
      <c r="D8" s="105"/>
      <c r="E8" s="105"/>
      <c r="F8" s="105"/>
      <c r="G8" s="105"/>
      <c r="H8" s="105"/>
      <c r="I8" s="105"/>
      <c r="AI8">
        <v>0.2</v>
      </c>
      <c r="AJ8" t="s">
        <v>241</v>
      </c>
    </row>
    <row r="9" spans="2:54" x14ac:dyDescent="0.2">
      <c r="B9"/>
    </row>
    <row r="10" spans="2:54" x14ac:dyDescent="0.2">
      <c r="B10"/>
    </row>
    <row r="11" spans="2:54" ht="27.95" customHeight="1" x14ac:dyDescent="0.25">
      <c r="B11" s="3"/>
      <c r="C11" s="99" t="s">
        <v>197</v>
      </c>
      <c r="D11" s="100"/>
      <c r="E11" s="100"/>
      <c r="F11" s="100"/>
      <c r="G11" s="100"/>
      <c r="H11" s="100"/>
      <c r="I11" s="100"/>
      <c r="J11" s="100"/>
      <c r="K11" s="100"/>
      <c r="L11" s="100"/>
      <c r="M11" s="100"/>
      <c r="N11" s="100"/>
      <c r="O11" s="100"/>
      <c r="P11" s="100"/>
      <c r="Q11" s="100"/>
      <c r="R11" s="100"/>
      <c r="S11" s="101"/>
      <c r="U11" s="102" t="s">
        <v>199</v>
      </c>
      <c r="V11" s="102"/>
      <c r="W11" s="102"/>
      <c r="X11" s="102"/>
      <c r="Y11" s="102"/>
      <c r="Z11" s="102"/>
      <c r="AA11" s="102"/>
      <c r="AB11" s="102"/>
      <c r="AC11" s="102"/>
      <c r="AD11" s="102"/>
      <c r="AE11" s="102"/>
      <c r="AF11" s="102"/>
      <c r="AG11" s="102"/>
      <c r="AH11" s="102"/>
      <c r="AI11" s="102"/>
      <c r="AJ11" s="102"/>
      <c r="AK11" s="102"/>
      <c r="AM11" s="49" t="s">
        <v>200</v>
      </c>
      <c r="AN11" s="103" t="s">
        <v>250</v>
      </c>
      <c r="AO11" s="104"/>
      <c r="AP11" s="104"/>
    </row>
    <row r="12" spans="2:54" ht="45" x14ac:dyDescent="0.25">
      <c r="B12" s="4" t="s">
        <v>0</v>
      </c>
      <c r="C12" s="72" t="s">
        <v>222</v>
      </c>
      <c r="D12" s="72" t="s">
        <v>223</v>
      </c>
      <c r="E12" s="72" t="s">
        <v>116</v>
      </c>
      <c r="F12" s="72" t="s">
        <v>119</v>
      </c>
      <c r="G12" s="72" t="s">
        <v>224</v>
      </c>
      <c r="H12" s="72" t="s">
        <v>225</v>
      </c>
      <c r="I12" s="72" t="s">
        <v>226</v>
      </c>
      <c r="J12" s="72" t="s">
        <v>120</v>
      </c>
      <c r="K12" s="72" t="s">
        <v>124</v>
      </c>
      <c r="L12" s="72" t="s">
        <v>227</v>
      </c>
      <c r="M12" s="72" t="s">
        <v>228</v>
      </c>
      <c r="N12" s="72" t="s">
        <v>192</v>
      </c>
      <c r="O12" s="72" t="s">
        <v>193</v>
      </c>
      <c r="P12" s="72" t="s">
        <v>194</v>
      </c>
      <c r="Q12" s="72" t="s">
        <v>195</v>
      </c>
      <c r="R12" s="72" t="s">
        <v>198</v>
      </c>
      <c r="S12" s="72" t="s">
        <v>134</v>
      </c>
      <c r="U12" s="22" t="s">
        <v>222</v>
      </c>
      <c r="V12" s="22" t="s">
        <v>223</v>
      </c>
      <c r="W12" s="22" t="s">
        <v>116</v>
      </c>
      <c r="X12" s="22" t="s">
        <v>119</v>
      </c>
      <c r="Y12" s="22" t="s">
        <v>224</v>
      </c>
      <c r="Z12" s="22" t="s">
        <v>225</v>
      </c>
      <c r="AA12" s="22" t="s">
        <v>226</v>
      </c>
      <c r="AB12" s="22" t="s">
        <v>120</v>
      </c>
      <c r="AC12" s="22" t="s">
        <v>124</v>
      </c>
      <c r="AD12" s="22" t="s">
        <v>227</v>
      </c>
      <c r="AE12" s="22" t="s">
        <v>228</v>
      </c>
      <c r="AF12" s="22" t="s">
        <v>192</v>
      </c>
      <c r="AG12" s="22" t="s">
        <v>193</v>
      </c>
      <c r="AH12" s="22" t="s">
        <v>194</v>
      </c>
      <c r="AI12" s="22" t="s">
        <v>195</v>
      </c>
      <c r="AJ12" s="22" t="s">
        <v>198</v>
      </c>
      <c r="AK12" s="22" t="s">
        <v>134</v>
      </c>
      <c r="AM12" s="49" t="s">
        <v>131</v>
      </c>
      <c r="AN12" s="103"/>
      <c r="AO12" s="104"/>
      <c r="AP12" s="104"/>
    </row>
    <row r="13" spans="2:54" x14ac:dyDescent="0.2">
      <c r="B13" s="60" t="s">
        <v>160</v>
      </c>
      <c r="C13" s="8" t="s">
        <v>242</v>
      </c>
      <c r="D13" s="8"/>
      <c r="E13" s="8">
        <v>4</v>
      </c>
      <c r="F13" s="8"/>
      <c r="G13" s="8"/>
      <c r="H13" s="8"/>
      <c r="I13" s="8">
        <v>2</v>
      </c>
      <c r="J13" s="8">
        <v>1928</v>
      </c>
      <c r="K13" s="75">
        <v>39934</v>
      </c>
      <c r="L13" s="76">
        <v>0.1353</v>
      </c>
      <c r="M13" s="77" t="s">
        <v>243</v>
      </c>
      <c r="N13" s="77" t="s">
        <v>244</v>
      </c>
      <c r="O13" s="77"/>
      <c r="P13" s="77" t="s">
        <v>245</v>
      </c>
      <c r="Q13" s="63">
        <v>38.397338407071473</v>
      </c>
      <c r="R13" s="63" t="s">
        <v>246</v>
      </c>
      <c r="S13" s="77"/>
      <c r="U13" s="6">
        <v>-5</v>
      </c>
      <c r="V13" s="6"/>
      <c r="W13" s="6">
        <v>20</v>
      </c>
      <c r="X13" s="6"/>
      <c r="Y13" s="6"/>
      <c r="Z13" s="6"/>
      <c r="AA13" s="6">
        <v>4</v>
      </c>
      <c r="AB13" s="6">
        <v>86</v>
      </c>
      <c r="AC13" s="63">
        <v>26.301369863013697</v>
      </c>
      <c r="AD13" s="6">
        <v>27.060000000000002</v>
      </c>
      <c r="AE13" s="62">
        <v>10</v>
      </c>
      <c r="AF13" s="77"/>
      <c r="AG13" s="77"/>
      <c r="AH13" s="77"/>
      <c r="AI13" s="63">
        <v>38.397338407071473</v>
      </c>
      <c r="AJ13" s="62">
        <v>10</v>
      </c>
      <c r="AK13" s="62"/>
      <c r="AM13" s="66">
        <v>216.75870827008515</v>
      </c>
    </row>
    <row r="14" spans="2:54" x14ac:dyDescent="0.2">
      <c r="B14" s="61" t="s">
        <v>161</v>
      </c>
      <c r="C14" s="6" t="s">
        <v>229</v>
      </c>
      <c r="D14" s="6"/>
      <c r="E14" s="6">
        <v>0</v>
      </c>
      <c r="F14" s="6"/>
      <c r="G14" s="6"/>
      <c r="H14" s="6" t="s">
        <v>3</v>
      </c>
      <c r="I14" s="62">
        <v>5</v>
      </c>
      <c r="J14" s="6">
        <v>1953</v>
      </c>
      <c r="K14" s="75">
        <v>39934</v>
      </c>
      <c r="L14" s="77">
        <v>0.4929</v>
      </c>
      <c r="M14" s="77" t="s">
        <v>243</v>
      </c>
      <c r="N14" s="77" t="s">
        <v>244</v>
      </c>
      <c r="O14" s="77"/>
      <c r="P14" s="77" t="s">
        <v>247</v>
      </c>
      <c r="Q14" s="63">
        <v>52.329947557594963</v>
      </c>
      <c r="R14" s="63" t="s">
        <v>246</v>
      </c>
      <c r="S14" s="6" t="s">
        <v>9</v>
      </c>
      <c r="U14" s="6">
        <v>-10</v>
      </c>
      <c r="V14" s="6"/>
      <c r="W14" s="6"/>
      <c r="X14" s="6"/>
      <c r="Y14" s="6"/>
      <c r="Z14" s="6">
        <v>-10</v>
      </c>
      <c r="AA14" s="6">
        <v>10</v>
      </c>
      <c r="AB14" s="6">
        <v>30.5</v>
      </c>
      <c r="AC14" s="63">
        <v>26.301369863013697</v>
      </c>
      <c r="AD14" s="6">
        <v>98.58</v>
      </c>
      <c r="AE14" s="62">
        <v>10</v>
      </c>
      <c r="AF14" s="77"/>
      <c r="AG14" s="77"/>
      <c r="AH14" s="62">
        <v>10</v>
      </c>
      <c r="AI14" s="63">
        <v>52.329947557594963</v>
      </c>
      <c r="AJ14" s="62">
        <v>10</v>
      </c>
      <c r="AK14" s="62">
        <v>-15</v>
      </c>
      <c r="AM14" s="66">
        <v>212.71131742060868</v>
      </c>
    </row>
    <row r="15" spans="2:54" x14ac:dyDescent="0.2">
      <c r="B15" s="61" t="s">
        <v>162</v>
      </c>
      <c r="C15" s="6" t="s">
        <v>229</v>
      </c>
      <c r="D15" s="6"/>
      <c r="E15" s="6">
        <v>0</v>
      </c>
      <c r="F15" s="6"/>
      <c r="G15" s="6"/>
      <c r="H15" s="6" t="s">
        <v>3</v>
      </c>
      <c r="I15" s="62">
        <v>5</v>
      </c>
      <c r="J15" s="6">
        <v>1953</v>
      </c>
      <c r="K15" s="75">
        <v>39934</v>
      </c>
      <c r="L15" s="77">
        <v>0.4929</v>
      </c>
      <c r="M15" s="77" t="s">
        <v>243</v>
      </c>
      <c r="N15" s="77" t="s">
        <v>244</v>
      </c>
      <c r="O15" s="77"/>
      <c r="P15" s="77" t="s">
        <v>247</v>
      </c>
      <c r="Q15" s="63">
        <v>52.329947557594963</v>
      </c>
      <c r="R15" s="63" t="s">
        <v>246</v>
      </c>
      <c r="S15" s="6" t="s">
        <v>9</v>
      </c>
      <c r="U15" s="6">
        <v>-10</v>
      </c>
      <c r="V15" s="6"/>
      <c r="W15" s="6"/>
      <c r="X15" s="6"/>
      <c r="Y15" s="6"/>
      <c r="Z15" s="6">
        <v>-10</v>
      </c>
      <c r="AA15" s="6">
        <v>10</v>
      </c>
      <c r="AB15" s="6">
        <v>30.5</v>
      </c>
      <c r="AC15" s="63">
        <v>26.301369863013697</v>
      </c>
      <c r="AD15" s="6">
        <v>98.58</v>
      </c>
      <c r="AE15" s="62">
        <v>10</v>
      </c>
      <c r="AF15" s="77"/>
      <c r="AG15" s="77"/>
      <c r="AH15" s="62">
        <v>10</v>
      </c>
      <c r="AI15" s="63">
        <v>52.329947557594963</v>
      </c>
      <c r="AJ15" s="62">
        <v>10</v>
      </c>
      <c r="AK15" s="62">
        <v>-15</v>
      </c>
      <c r="AM15" s="66">
        <v>212.71131742060868</v>
      </c>
    </row>
    <row r="16" spans="2:54" x14ac:dyDescent="0.2">
      <c r="B16" s="61" t="s">
        <v>163</v>
      </c>
      <c r="C16" s="6" t="s">
        <v>229</v>
      </c>
      <c r="D16" s="6"/>
      <c r="E16" s="6">
        <v>0</v>
      </c>
      <c r="F16" s="6"/>
      <c r="G16" s="6"/>
      <c r="H16" s="6" t="s">
        <v>3</v>
      </c>
      <c r="I16" s="62">
        <v>5</v>
      </c>
      <c r="J16" s="6">
        <v>1953</v>
      </c>
      <c r="K16" s="75">
        <v>39934</v>
      </c>
      <c r="L16" s="77">
        <v>0.4929</v>
      </c>
      <c r="M16" s="77" t="s">
        <v>243</v>
      </c>
      <c r="N16" s="77" t="s">
        <v>244</v>
      </c>
      <c r="O16" s="77"/>
      <c r="P16" s="77" t="s">
        <v>247</v>
      </c>
      <c r="Q16" s="63">
        <v>52.329947557594963</v>
      </c>
      <c r="R16" s="63" t="s">
        <v>246</v>
      </c>
      <c r="S16" s="6" t="s">
        <v>9</v>
      </c>
      <c r="U16" s="6">
        <v>-10</v>
      </c>
      <c r="V16" s="6"/>
      <c r="W16" s="6"/>
      <c r="X16" s="6"/>
      <c r="Y16" s="6"/>
      <c r="Z16" s="6">
        <v>-10</v>
      </c>
      <c r="AA16" s="6">
        <v>10</v>
      </c>
      <c r="AB16" s="6">
        <v>30.5</v>
      </c>
      <c r="AC16" s="63">
        <v>26.301369863013697</v>
      </c>
      <c r="AD16" s="6">
        <v>98.58</v>
      </c>
      <c r="AE16" s="62">
        <v>10</v>
      </c>
      <c r="AF16" s="77"/>
      <c r="AG16" s="77"/>
      <c r="AH16" s="62">
        <v>10</v>
      </c>
      <c r="AI16" s="63">
        <v>52.329947557594963</v>
      </c>
      <c r="AJ16" s="62">
        <v>10</v>
      </c>
      <c r="AK16" s="62">
        <v>-15</v>
      </c>
      <c r="AM16" s="66">
        <v>212.71131742060868</v>
      </c>
    </row>
    <row r="17" spans="2:39" x14ac:dyDescent="0.2">
      <c r="B17" s="61" t="s">
        <v>164</v>
      </c>
      <c r="C17" s="6" t="s">
        <v>229</v>
      </c>
      <c r="D17" s="6"/>
      <c r="E17" s="6">
        <v>0</v>
      </c>
      <c r="F17" s="6"/>
      <c r="G17" s="6"/>
      <c r="H17" s="6" t="s">
        <v>3</v>
      </c>
      <c r="I17" s="62">
        <v>5</v>
      </c>
      <c r="J17" s="6">
        <v>1953</v>
      </c>
      <c r="K17" s="75">
        <v>39934</v>
      </c>
      <c r="L17" s="77">
        <v>0.4929</v>
      </c>
      <c r="M17" s="77" t="s">
        <v>243</v>
      </c>
      <c r="N17" s="77" t="s">
        <v>244</v>
      </c>
      <c r="O17" s="77"/>
      <c r="P17" s="77" t="s">
        <v>247</v>
      </c>
      <c r="Q17" s="63">
        <v>52.329947557594963</v>
      </c>
      <c r="R17" s="63" t="s">
        <v>246</v>
      </c>
      <c r="S17" s="6" t="s">
        <v>9</v>
      </c>
      <c r="U17" s="6">
        <v>-10</v>
      </c>
      <c r="V17" s="6"/>
      <c r="W17" s="6"/>
      <c r="X17" s="6"/>
      <c r="Y17" s="6"/>
      <c r="Z17" s="6">
        <v>-10</v>
      </c>
      <c r="AA17" s="6">
        <v>10</v>
      </c>
      <c r="AB17" s="6">
        <v>30.5</v>
      </c>
      <c r="AC17" s="63">
        <v>26.301369863013697</v>
      </c>
      <c r="AD17" s="6">
        <v>98.58</v>
      </c>
      <c r="AE17" s="62">
        <v>10</v>
      </c>
      <c r="AF17" s="77"/>
      <c r="AG17" s="77"/>
      <c r="AH17" s="62">
        <v>10</v>
      </c>
      <c r="AI17" s="63">
        <v>52.329947557594963</v>
      </c>
      <c r="AJ17" s="62">
        <v>10</v>
      </c>
      <c r="AK17" s="62">
        <v>-15</v>
      </c>
      <c r="AM17" s="66">
        <v>212.71131742060868</v>
      </c>
    </row>
    <row r="18" spans="2:39" x14ac:dyDescent="0.2">
      <c r="B18" s="61" t="s">
        <v>165</v>
      </c>
      <c r="C18" s="6" t="s">
        <v>229</v>
      </c>
      <c r="D18" s="6"/>
      <c r="E18" s="6">
        <v>0</v>
      </c>
      <c r="F18" s="6"/>
      <c r="G18" s="6"/>
      <c r="H18" s="6" t="s">
        <v>3</v>
      </c>
      <c r="I18" s="62">
        <v>5</v>
      </c>
      <c r="J18" s="6">
        <v>1953</v>
      </c>
      <c r="K18" s="75">
        <v>40281</v>
      </c>
      <c r="L18" s="77">
        <v>0.4929</v>
      </c>
      <c r="M18" s="77" t="s">
        <v>243</v>
      </c>
      <c r="N18" s="77" t="s">
        <v>244</v>
      </c>
      <c r="O18" s="77"/>
      <c r="P18" s="77" t="s">
        <v>247</v>
      </c>
      <c r="Q18" s="63">
        <v>52.329947557594963</v>
      </c>
      <c r="R18" s="63" t="s">
        <v>246</v>
      </c>
      <c r="S18" s="6" t="s">
        <v>9</v>
      </c>
      <c r="U18" s="6">
        <v>-10</v>
      </c>
      <c r="V18" s="6"/>
      <c r="W18" s="6"/>
      <c r="X18" s="6"/>
      <c r="Y18" s="6"/>
      <c r="Z18" s="6">
        <v>-10</v>
      </c>
      <c r="AA18" s="6">
        <v>10</v>
      </c>
      <c r="AB18" s="6">
        <v>30.5</v>
      </c>
      <c r="AC18" s="63">
        <v>21.547945205479451</v>
      </c>
      <c r="AD18" s="6">
        <v>98.58</v>
      </c>
      <c r="AE18" s="62">
        <v>10</v>
      </c>
      <c r="AF18" s="77"/>
      <c r="AG18" s="77"/>
      <c r="AH18" s="62">
        <v>10</v>
      </c>
      <c r="AI18" s="63">
        <v>52.329947557594963</v>
      </c>
      <c r="AJ18" s="62">
        <v>10</v>
      </c>
      <c r="AK18" s="62">
        <v>-15</v>
      </c>
      <c r="AM18" s="66">
        <v>207.95789276307443</v>
      </c>
    </row>
    <row r="19" spans="2:39" x14ac:dyDescent="0.2">
      <c r="B19" s="61" t="s">
        <v>166</v>
      </c>
      <c r="C19" s="8" t="s">
        <v>242</v>
      </c>
      <c r="D19" s="8"/>
      <c r="E19" s="6">
        <v>2</v>
      </c>
      <c r="F19" s="6"/>
      <c r="G19" s="6"/>
      <c r="H19" s="6"/>
      <c r="I19" s="6">
        <v>5</v>
      </c>
      <c r="J19" s="6">
        <v>1980</v>
      </c>
      <c r="K19" s="75">
        <v>40358</v>
      </c>
      <c r="L19" s="77">
        <v>0.71789999999999998</v>
      </c>
      <c r="M19" s="77" t="s">
        <v>243</v>
      </c>
      <c r="N19" s="77" t="s">
        <v>244</v>
      </c>
      <c r="O19" s="77"/>
      <c r="P19" s="77" t="s">
        <v>245</v>
      </c>
      <c r="Q19" s="63">
        <v>51.702464097701693</v>
      </c>
      <c r="R19" s="63"/>
      <c r="S19" s="6"/>
      <c r="U19" s="6">
        <v>-5</v>
      </c>
      <c r="V19" s="6"/>
      <c r="W19" s="6">
        <v>10</v>
      </c>
      <c r="X19" s="6"/>
      <c r="Y19" s="6"/>
      <c r="Z19" s="6"/>
      <c r="AA19" s="6">
        <v>10</v>
      </c>
      <c r="AB19" s="6">
        <v>6.8000000000000007</v>
      </c>
      <c r="AC19" s="63">
        <v>20.493150684931507</v>
      </c>
      <c r="AD19" s="6">
        <v>143.57999999999998</v>
      </c>
      <c r="AE19" s="62">
        <v>10</v>
      </c>
      <c r="AF19" s="77"/>
      <c r="AG19" s="77"/>
      <c r="AH19" s="77"/>
      <c r="AI19" s="63">
        <v>51.702464097701693</v>
      </c>
      <c r="AJ19" s="62"/>
      <c r="AK19" s="62"/>
      <c r="AM19" s="66">
        <v>247.57561478263318</v>
      </c>
    </row>
    <row r="20" spans="2:39" x14ac:dyDescent="0.2">
      <c r="B20" s="61" t="s">
        <v>167</v>
      </c>
      <c r="C20" s="8" t="s">
        <v>242</v>
      </c>
      <c r="D20" s="8"/>
      <c r="E20" s="6">
        <v>0</v>
      </c>
      <c r="F20" s="6"/>
      <c r="G20" s="6"/>
      <c r="H20" s="6"/>
      <c r="I20" s="6">
        <v>5</v>
      </c>
      <c r="J20" s="6">
        <v>1980</v>
      </c>
      <c r="K20" s="75">
        <v>40556</v>
      </c>
      <c r="L20" s="77">
        <v>0.15340000000000001</v>
      </c>
      <c r="M20" s="77" t="s">
        <v>243</v>
      </c>
      <c r="N20" s="77" t="s">
        <v>244</v>
      </c>
      <c r="O20" s="77"/>
      <c r="P20" s="77" t="s">
        <v>245</v>
      </c>
      <c r="Q20" s="63">
        <v>68.936618796935591</v>
      </c>
      <c r="R20" s="63"/>
      <c r="S20" s="6"/>
      <c r="U20" s="6">
        <v>-5</v>
      </c>
      <c r="V20" s="6"/>
      <c r="W20" s="6"/>
      <c r="X20" s="6"/>
      <c r="Y20" s="6"/>
      <c r="Z20" s="6"/>
      <c r="AA20" s="6">
        <v>10</v>
      </c>
      <c r="AB20" s="6">
        <v>6.8000000000000007</v>
      </c>
      <c r="AC20" s="63">
        <v>17.780821917808218</v>
      </c>
      <c r="AD20" s="6">
        <v>30.680000000000003</v>
      </c>
      <c r="AE20" s="62">
        <v>10</v>
      </c>
      <c r="AF20" s="77"/>
      <c r="AG20" s="77"/>
      <c r="AH20" s="77"/>
      <c r="AI20" s="63">
        <v>68.936618796935591</v>
      </c>
      <c r="AJ20" s="62"/>
      <c r="AK20" s="62"/>
      <c r="AM20" s="66">
        <v>139.19744071474381</v>
      </c>
    </row>
    <row r="21" spans="2:39" x14ac:dyDescent="0.2">
      <c r="B21" s="61" t="s">
        <v>168</v>
      </c>
      <c r="C21" s="8" t="s">
        <v>242</v>
      </c>
      <c r="D21" s="8" t="s">
        <v>196</v>
      </c>
      <c r="E21" s="6">
        <v>2</v>
      </c>
      <c r="F21" s="6" t="s">
        <v>18</v>
      </c>
      <c r="G21" s="73">
        <v>0.23</v>
      </c>
      <c r="H21" s="73"/>
      <c r="I21" s="62">
        <v>2.39</v>
      </c>
      <c r="J21" s="6">
        <v>1940</v>
      </c>
      <c r="K21" s="75">
        <v>40560</v>
      </c>
      <c r="L21" s="77">
        <v>0.32050000000000001</v>
      </c>
      <c r="M21" s="77" t="s">
        <v>243</v>
      </c>
      <c r="N21" s="77" t="s">
        <v>244</v>
      </c>
      <c r="O21" s="77"/>
      <c r="P21" s="77" t="s">
        <v>245</v>
      </c>
      <c r="Q21" s="63">
        <v>96.752994343345819</v>
      </c>
      <c r="R21" s="63" t="s">
        <v>246</v>
      </c>
      <c r="S21" s="6"/>
      <c r="U21" s="6">
        <v>-5</v>
      </c>
      <c r="V21" s="6">
        <v>10</v>
      </c>
      <c r="W21" s="6">
        <v>10</v>
      </c>
      <c r="X21" s="6">
        <v>5</v>
      </c>
      <c r="Y21" s="62">
        <v>23</v>
      </c>
      <c r="Z21" s="73"/>
      <c r="AA21" s="6">
        <v>4.78</v>
      </c>
      <c r="AB21" s="6">
        <v>74</v>
      </c>
      <c r="AC21" s="63">
        <v>17.726027397260275</v>
      </c>
      <c r="AD21" s="6">
        <v>64.099999999999994</v>
      </c>
      <c r="AE21" s="62">
        <v>10</v>
      </c>
      <c r="AF21" s="77"/>
      <c r="AG21" s="77"/>
      <c r="AH21" s="77"/>
      <c r="AI21" s="63">
        <v>96.752994343345819</v>
      </c>
      <c r="AJ21" s="62">
        <v>10</v>
      </c>
      <c r="AK21" s="62"/>
      <c r="AM21" s="66">
        <v>320.35902174060607</v>
      </c>
    </row>
    <row r="22" spans="2:39" x14ac:dyDescent="0.2">
      <c r="B22" s="61" t="s">
        <v>169</v>
      </c>
      <c r="C22" s="8" t="s">
        <v>242</v>
      </c>
      <c r="D22" s="8"/>
      <c r="E22" s="6">
        <v>1</v>
      </c>
      <c r="F22" s="6"/>
      <c r="G22" s="6"/>
      <c r="H22" s="6"/>
      <c r="I22" s="6">
        <v>5</v>
      </c>
      <c r="J22" s="6">
        <v>1930</v>
      </c>
      <c r="K22" s="75">
        <v>40576</v>
      </c>
      <c r="L22" s="77">
        <v>0.17710000000000001</v>
      </c>
      <c r="M22" s="77" t="s">
        <v>243</v>
      </c>
      <c r="N22" s="77" t="s">
        <v>244</v>
      </c>
      <c r="O22" s="77"/>
      <c r="P22" s="77" t="s">
        <v>245</v>
      </c>
      <c r="Q22" s="63">
        <v>54.941732618190223</v>
      </c>
      <c r="R22" s="63" t="s">
        <v>246</v>
      </c>
      <c r="S22" s="6" t="s">
        <v>33</v>
      </c>
      <c r="U22" s="6">
        <v>-5</v>
      </c>
      <c r="V22" s="6"/>
      <c r="W22" s="6">
        <v>5</v>
      </c>
      <c r="X22" s="6"/>
      <c r="Y22" s="62"/>
      <c r="Z22" s="6"/>
      <c r="AA22" s="6">
        <v>10</v>
      </c>
      <c r="AB22" s="6">
        <v>84</v>
      </c>
      <c r="AC22" s="63">
        <v>17.506849315068493</v>
      </c>
      <c r="AD22" s="6">
        <v>35.42</v>
      </c>
      <c r="AE22" s="62">
        <v>10</v>
      </c>
      <c r="AF22" s="77"/>
      <c r="AG22" s="77"/>
      <c r="AH22" s="77"/>
      <c r="AI22" s="63">
        <v>54.941732618190223</v>
      </c>
      <c r="AJ22" s="62">
        <v>10</v>
      </c>
      <c r="AK22" s="62">
        <v>-10</v>
      </c>
      <c r="AM22" s="66">
        <v>211.86858193325872</v>
      </c>
    </row>
    <row r="23" spans="2:39" x14ac:dyDescent="0.2">
      <c r="B23" s="61" t="s">
        <v>170</v>
      </c>
      <c r="C23" s="8" t="s">
        <v>242</v>
      </c>
      <c r="D23" s="8"/>
      <c r="E23" s="6">
        <v>4</v>
      </c>
      <c r="F23" s="6"/>
      <c r="G23" s="6"/>
      <c r="H23" s="6"/>
      <c r="I23" s="6">
        <v>1</v>
      </c>
      <c r="J23" s="6">
        <v>1930</v>
      </c>
      <c r="K23" s="75">
        <v>40591</v>
      </c>
      <c r="L23" s="77">
        <v>0.19439999999999999</v>
      </c>
      <c r="M23" s="77" t="s">
        <v>243</v>
      </c>
      <c r="N23" s="77" t="s">
        <v>244</v>
      </c>
      <c r="O23" s="77"/>
      <c r="P23" s="77" t="s">
        <v>245</v>
      </c>
      <c r="Q23" s="63">
        <v>107.9648755007621</v>
      </c>
      <c r="R23" s="63" t="s">
        <v>246</v>
      </c>
      <c r="S23" s="6" t="s">
        <v>33</v>
      </c>
      <c r="U23" s="6">
        <v>-5</v>
      </c>
      <c r="V23" s="6"/>
      <c r="W23" s="6">
        <v>20</v>
      </c>
      <c r="X23" s="6"/>
      <c r="Y23" s="62"/>
      <c r="Z23" s="6"/>
      <c r="AA23" s="6">
        <v>2</v>
      </c>
      <c r="AB23" s="6">
        <v>84</v>
      </c>
      <c r="AC23" s="63">
        <v>17.301369863013697</v>
      </c>
      <c r="AD23" s="6">
        <v>38.879999999999995</v>
      </c>
      <c r="AE23" s="62">
        <v>10</v>
      </c>
      <c r="AF23" s="77"/>
      <c r="AG23" s="77"/>
      <c r="AH23" s="77"/>
      <c r="AI23" s="63">
        <v>107.9648755007621</v>
      </c>
      <c r="AJ23" s="62">
        <v>10</v>
      </c>
      <c r="AK23" s="62">
        <v>-10</v>
      </c>
      <c r="AM23" s="66">
        <v>275.14624536377579</v>
      </c>
    </row>
    <row r="24" spans="2:39" x14ac:dyDescent="0.2">
      <c r="B24" s="61" t="s">
        <v>171</v>
      </c>
      <c r="C24" s="8" t="s">
        <v>242</v>
      </c>
      <c r="D24" s="8"/>
      <c r="E24" s="6">
        <v>1</v>
      </c>
      <c r="F24" s="6" t="s">
        <v>18</v>
      </c>
      <c r="G24" s="6"/>
      <c r="H24" s="6"/>
      <c r="I24" s="6">
        <v>4</v>
      </c>
      <c r="J24" s="6">
        <v>1978</v>
      </c>
      <c r="K24" s="75">
        <v>40753</v>
      </c>
      <c r="L24" s="77">
        <v>0.16669999999999999</v>
      </c>
      <c r="M24" s="77" t="s">
        <v>243</v>
      </c>
      <c r="N24" s="77" t="s">
        <v>244</v>
      </c>
      <c r="O24" s="77"/>
      <c r="P24" s="77" t="s">
        <v>245</v>
      </c>
      <c r="Q24" s="63">
        <v>0</v>
      </c>
      <c r="R24" s="63" t="s">
        <v>246</v>
      </c>
      <c r="S24" s="6"/>
      <c r="U24" s="6">
        <v>-5</v>
      </c>
      <c r="V24" s="6"/>
      <c r="W24" s="6">
        <v>5</v>
      </c>
      <c r="X24" s="6">
        <v>5</v>
      </c>
      <c r="Y24" s="62"/>
      <c r="Z24" s="6"/>
      <c r="AA24" s="6">
        <v>8</v>
      </c>
      <c r="AB24" s="6">
        <v>7.2</v>
      </c>
      <c r="AC24" s="63">
        <v>15.082191780821917</v>
      </c>
      <c r="AD24" s="6">
        <v>33.339999999999996</v>
      </c>
      <c r="AE24" s="62">
        <v>10</v>
      </c>
      <c r="AF24" s="77"/>
      <c r="AG24" s="77"/>
      <c r="AH24" s="77"/>
      <c r="AI24" s="63">
        <v>0</v>
      </c>
      <c r="AJ24" s="62">
        <v>10</v>
      </c>
      <c r="AK24" s="62"/>
      <c r="AM24" s="66">
        <v>88.622191780821908</v>
      </c>
    </row>
    <row r="25" spans="2:39" x14ac:dyDescent="0.2">
      <c r="B25" s="61" t="s">
        <v>172</v>
      </c>
      <c r="C25" s="8" t="s">
        <v>242</v>
      </c>
      <c r="D25" s="8"/>
      <c r="E25" s="6">
        <v>6</v>
      </c>
      <c r="F25" s="6"/>
      <c r="G25" s="6"/>
      <c r="H25" s="6"/>
      <c r="I25" s="6">
        <v>5</v>
      </c>
      <c r="J25" s="6">
        <v>1930</v>
      </c>
      <c r="K25" s="75">
        <v>40772</v>
      </c>
      <c r="L25" s="77">
        <v>0.15340000000000001</v>
      </c>
      <c r="M25" s="77" t="s">
        <v>243</v>
      </c>
      <c r="N25" s="77" t="s">
        <v>244</v>
      </c>
      <c r="O25" s="77"/>
      <c r="P25" s="77" t="s">
        <v>245</v>
      </c>
      <c r="Q25" s="63">
        <v>129.00399245779442</v>
      </c>
      <c r="R25" s="63"/>
      <c r="S25" s="6"/>
      <c r="U25" s="6">
        <v>-5</v>
      </c>
      <c r="V25" s="6"/>
      <c r="W25" s="6">
        <v>30</v>
      </c>
      <c r="X25" s="6"/>
      <c r="Y25" s="62"/>
      <c r="Z25" s="6"/>
      <c r="AA25" s="6">
        <v>10</v>
      </c>
      <c r="AB25" s="6">
        <v>84</v>
      </c>
      <c r="AC25" s="63">
        <v>14.821917808219178</v>
      </c>
      <c r="AD25" s="6">
        <v>30.680000000000003</v>
      </c>
      <c r="AE25" s="62">
        <v>10</v>
      </c>
      <c r="AF25" s="77"/>
      <c r="AG25" s="77"/>
      <c r="AH25" s="77"/>
      <c r="AI25" s="63">
        <v>129.00399245779442</v>
      </c>
      <c r="AJ25" s="62"/>
      <c r="AK25" s="62"/>
      <c r="AM25" s="66">
        <v>303.50591026601364</v>
      </c>
    </row>
    <row r="26" spans="2:39" x14ac:dyDescent="0.2">
      <c r="B26" s="61" t="s">
        <v>173</v>
      </c>
      <c r="C26" s="8" t="s">
        <v>242</v>
      </c>
      <c r="D26" s="8" t="s">
        <v>196</v>
      </c>
      <c r="E26" s="6">
        <v>1</v>
      </c>
      <c r="F26" s="6"/>
      <c r="G26" s="73">
        <v>0.18</v>
      </c>
      <c r="H26" s="73"/>
      <c r="I26" s="62">
        <v>5</v>
      </c>
      <c r="J26" s="6">
        <v>1936</v>
      </c>
      <c r="K26" s="75">
        <v>40849</v>
      </c>
      <c r="L26" s="77">
        <v>0.22170000000000001</v>
      </c>
      <c r="M26" s="77" t="s">
        <v>243</v>
      </c>
      <c r="N26" s="77" t="s">
        <v>244</v>
      </c>
      <c r="O26" s="77"/>
      <c r="P26" s="77" t="s">
        <v>245</v>
      </c>
      <c r="Q26" s="63">
        <v>51.702464097701693</v>
      </c>
      <c r="R26" s="63"/>
      <c r="S26" s="6"/>
      <c r="U26" s="6">
        <v>-5</v>
      </c>
      <c r="V26" s="6">
        <v>10</v>
      </c>
      <c r="W26" s="6">
        <v>5</v>
      </c>
      <c r="X26" s="6"/>
      <c r="Y26" s="62">
        <v>18</v>
      </c>
      <c r="Z26" s="73"/>
      <c r="AA26" s="6">
        <v>10</v>
      </c>
      <c r="AB26" s="6">
        <v>78</v>
      </c>
      <c r="AC26" s="63">
        <v>13.767123287671232</v>
      </c>
      <c r="AD26" s="6">
        <v>44.34</v>
      </c>
      <c r="AE26" s="62">
        <v>10</v>
      </c>
      <c r="AF26" s="77"/>
      <c r="AG26" s="77"/>
      <c r="AH26" s="77"/>
      <c r="AI26" s="63">
        <v>51.702464097701693</v>
      </c>
      <c r="AJ26" s="62"/>
      <c r="AK26" s="62"/>
      <c r="AM26" s="66">
        <v>235.80958738537294</v>
      </c>
    </row>
    <row r="27" spans="2:39" x14ac:dyDescent="0.2">
      <c r="B27" s="61" t="s">
        <v>174</v>
      </c>
      <c r="C27" s="8" t="s">
        <v>242</v>
      </c>
      <c r="D27" s="8"/>
      <c r="E27" s="6">
        <v>0</v>
      </c>
      <c r="F27" s="6" t="s">
        <v>18</v>
      </c>
      <c r="G27" s="6"/>
      <c r="H27" s="6"/>
      <c r="I27" s="6">
        <v>5</v>
      </c>
      <c r="J27" s="6">
        <v>1928</v>
      </c>
      <c r="K27" s="75">
        <v>40917</v>
      </c>
      <c r="L27" s="77">
        <v>0.1804</v>
      </c>
      <c r="M27" s="77" t="s">
        <v>243</v>
      </c>
      <c r="N27" s="77" t="s">
        <v>244</v>
      </c>
      <c r="O27" s="77"/>
      <c r="P27" s="77" t="s">
        <v>245</v>
      </c>
      <c r="Q27" s="63">
        <v>32.965039570914129</v>
      </c>
      <c r="R27" s="63"/>
      <c r="S27" s="6"/>
      <c r="U27" s="6">
        <v>-5</v>
      </c>
      <c r="V27" s="6"/>
      <c r="W27" s="6"/>
      <c r="X27" s="6">
        <v>5</v>
      </c>
      <c r="Y27" s="62"/>
      <c r="Z27" s="6"/>
      <c r="AA27" s="6">
        <v>10</v>
      </c>
      <c r="AB27" s="6">
        <v>86</v>
      </c>
      <c r="AC27" s="63">
        <v>12.835616438356164</v>
      </c>
      <c r="AD27" s="6">
        <v>36.08</v>
      </c>
      <c r="AE27" s="62">
        <v>10</v>
      </c>
      <c r="AF27" s="77"/>
      <c r="AG27" s="77"/>
      <c r="AH27" s="77"/>
      <c r="AI27" s="63">
        <v>32.965039570914129</v>
      </c>
      <c r="AJ27" s="62"/>
      <c r="AK27" s="62"/>
      <c r="AM27" s="66">
        <v>187.8806560092703</v>
      </c>
    </row>
    <row r="28" spans="2:39" x14ac:dyDescent="0.2">
      <c r="B28" s="61" t="s">
        <v>175</v>
      </c>
      <c r="C28" s="8" t="s">
        <v>242</v>
      </c>
      <c r="D28" s="8"/>
      <c r="E28" s="6">
        <v>3</v>
      </c>
      <c r="F28" s="6"/>
      <c r="G28" s="6"/>
      <c r="H28" s="6"/>
      <c r="I28" s="6">
        <v>5</v>
      </c>
      <c r="J28" s="6">
        <v>1928</v>
      </c>
      <c r="K28" s="75">
        <v>40991</v>
      </c>
      <c r="L28" s="77">
        <v>0.15340000000000001</v>
      </c>
      <c r="M28" s="77" t="s">
        <v>243</v>
      </c>
      <c r="N28" s="77" t="s">
        <v>244</v>
      </c>
      <c r="O28" s="77"/>
      <c r="P28" s="77" t="s">
        <v>245</v>
      </c>
      <c r="Q28" s="63">
        <v>134.95609437595263</v>
      </c>
      <c r="R28" s="63"/>
      <c r="S28" s="6"/>
      <c r="U28" s="6">
        <v>-5</v>
      </c>
      <c r="V28" s="6"/>
      <c r="W28" s="6">
        <v>15</v>
      </c>
      <c r="X28" s="6"/>
      <c r="Y28" s="6"/>
      <c r="Z28" s="6"/>
      <c r="AA28" s="6">
        <v>10</v>
      </c>
      <c r="AB28" s="6">
        <v>86</v>
      </c>
      <c r="AC28" s="63">
        <v>11.821917808219178</v>
      </c>
      <c r="AD28" s="6">
        <v>30.680000000000003</v>
      </c>
      <c r="AE28" s="62">
        <v>10</v>
      </c>
      <c r="AF28" s="77"/>
      <c r="AG28" s="77"/>
      <c r="AH28" s="77"/>
      <c r="AI28" s="63">
        <v>134.95609437595263</v>
      </c>
      <c r="AJ28" s="62"/>
      <c r="AK28" s="62"/>
      <c r="AM28" s="66">
        <v>293.45801218417182</v>
      </c>
    </row>
    <row r="29" spans="2:39" x14ac:dyDescent="0.2">
      <c r="B29" s="61" t="s">
        <v>176</v>
      </c>
      <c r="C29" s="8" t="s">
        <v>242</v>
      </c>
      <c r="D29" s="8"/>
      <c r="E29" s="6">
        <v>1</v>
      </c>
      <c r="F29" s="6"/>
      <c r="G29" s="6"/>
      <c r="H29" s="6"/>
      <c r="I29" s="6">
        <v>5</v>
      </c>
      <c r="J29" s="6">
        <v>1930</v>
      </c>
      <c r="K29" s="75">
        <v>41040</v>
      </c>
      <c r="L29" s="77">
        <v>0.17710000000000001</v>
      </c>
      <c r="M29" s="77" t="s">
        <v>243</v>
      </c>
      <c r="N29" s="77" t="s">
        <v>244</v>
      </c>
      <c r="O29" s="77"/>
      <c r="P29" s="77" t="s">
        <v>245</v>
      </c>
      <c r="Q29" s="63">
        <v>0</v>
      </c>
      <c r="R29" s="63"/>
      <c r="S29" s="6"/>
      <c r="U29" s="6">
        <v>-5</v>
      </c>
      <c r="V29" s="6"/>
      <c r="W29" s="6">
        <v>5</v>
      </c>
      <c r="X29" s="6"/>
      <c r="Y29" s="6"/>
      <c r="Z29" s="6"/>
      <c r="AA29" s="6">
        <v>10</v>
      </c>
      <c r="AB29" s="6">
        <v>84</v>
      </c>
      <c r="AC29" s="63">
        <v>11.150684931506849</v>
      </c>
      <c r="AD29" s="6">
        <v>35.42</v>
      </c>
      <c r="AE29" s="62">
        <v>10</v>
      </c>
      <c r="AF29" s="77"/>
      <c r="AG29" s="77"/>
      <c r="AH29" s="77"/>
      <c r="AI29" s="63">
        <v>0</v>
      </c>
      <c r="AJ29" s="62"/>
      <c r="AK29" s="62"/>
      <c r="AM29" s="66">
        <v>150.57068493150683</v>
      </c>
    </row>
    <row r="30" spans="2:39" x14ac:dyDescent="0.2">
      <c r="B30" s="61" t="s">
        <v>177</v>
      </c>
      <c r="C30" s="8" t="s">
        <v>242</v>
      </c>
      <c r="D30" s="8"/>
      <c r="E30" s="6">
        <v>3</v>
      </c>
      <c r="F30" s="6"/>
      <c r="G30" s="6"/>
      <c r="H30" s="6"/>
      <c r="I30" s="6">
        <v>2.75</v>
      </c>
      <c r="J30" s="6">
        <v>1928</v>
      </c>
      <c r="K30" s="75">
        <v>41048</v>
      </c>
      <c r="L30" s="77">
        <v>0.32529999999999998</v>
      </c>
      <c r="M30" s="77" t="s">
        <v>243</v>
      </c>
      <c r="N30" s="77" t="s">
        <v>244</v>
      </c>
      <c r="O30" s="77"/>
      <c r="P30" s="77" t="s">
        <v>245</v>
      </c>
      <c r="Q30" s="63">
        <v>32.965039570914129</v>
      </c>
      <c r="R30" s="63"/>
      <c r="S30" s="6"/>
      <c r="U30" s="6">
        <v>-5</v>
      </c>
      <c r="V30" s="6"/>
      <c r="W30" s="6">
        <v>15</v>
      </c>
      <c r="X30" s="6"/>
      <c r="Y30" s="6"/>
      <c r="Z30" s="6"/>
      <c r="AA30" s="6">
        <v>5.5</v>
      </c>
      <c r="AB30" s="6">
        <v>86</v>
      </c>
      <c r="AC30" s="63">
        <v>11.04109589041096</v>
      </c>
      <c r="AD30" s="6">
        <v>65.06</v>
      </c>
      <c r="AE30" s="62">
        <v>10</v>
      </c>
      <c r="AF30" s="77"/>
      <c r="AG30" s="77"/>
      <c r="AH30" s="77"/>
      <c r="AI30" s="63">
        <v>32.965039570914129</v>
      </c>
      <c r="AJ30" s="62"/>
      <c r="AK30" s="62"/>
      <c r="AM30" s="66">
        <v>220.56613546132508</v>
      </c>
    </row>
    <row r="31" spans="2:39" x14ac:dyDescent="0.2">
      <c r="B31" s="61" t="s">
        <v>178</v>
      </c>
      <c r="C31" s="8" t="s">
        <v>242</v>
      </c>
      <c r="D31" s="8" t="s">
        <v>196</v>
      </c>
      <c r="E31" s="6">
        <v>0</v>
      </c>
      <c r="F31" s="6"/>
      <c r="G31" s="6" t="s">
        <v>248</v>
      </c>
      <c r="H31" s="6"/>
      <c r="I31" s="6">
        <v>5</v>
      </c>
      <c r="J31" s="6">
        <v>1940</v>
      </c>
      <c r="K31" s="75">
        <v>41050</v>
      </c>
      <c r="L31" s="77">
        <v>0.1749</v>
      </c>
      <c r="M31" s="77" t="s">
        <v>243</v>
      </c>
      <c r="N31" s="77" t="s">
        <v>244</v>
      </c>
      <c r="O31" s="77"/>
      <c r="P31" s="77" t="s">
        <v>245</v>
      </c>
      <c r="Q31" s="63">
        <v>87.906772189104359</v>
      </c>
      <c r="R31" s="63"/>
      <c r="S31" s="6"/>
      <c r="U31" s="6">
        <v>-5</v>
      </c>
      <c r="V31" s="6">
        <v>10</v>
      </c>
      <c r="W31" s="6"/>
      <c r="X31" s="6"/>
      <c r="Y31" s="6">
        <v>10</v>
      </c>
      <c r="Z31" s="6"/>
      <c r="AA31" s="6">
        <v>10</v>
      </c>
      <c r="AB31" s="6">
        <v>74</v>
      </c>
      <c r="AC31" s="63">
        <v>11.013698630136986</v>
      </c>
      <c r="AD31" s="6">
        <v>34.979999999999997</v>
      </c>
      <c r="AE31" s="62">
        <v>10</v>
      </c>
      <c r="AF31" s="77"/>
      <c r="AG31" s="77"/>
      <c r="AH31" s="77"/>
      <c r="AI31" s="63">
        <v>87.906772189104359</v>
      </c>
      <c r="AJ31" s="62"/>
      <c r="AK31" s="62"/>
      <c r="AM31" s="66">
        <v>242.90047081924132</v>
      </c>
    </row>
    <row r="32" spans="2:39" x14ac:dyDescent="0.2">
      <c r="B32" s="61" t="s">
        <v>179</v>
      </c>
      <c r="C32" s="8" t="s">
        <v>242</v>
      </c>
      <c r="D32" s="8"/>
      <c r="E32" s="6">
        <v>0</v>
      </c>
      <c r="F32" s="6"/>
      <c r="G32" s="6"/>
      <c r="H32" s="6"/>
      <c r="I32" s="6">
        <v>5</v>
      </c>
      <c r="J32" s="6">
        <v>1930</v>
      </c>
      <c r="K32" s="75">
        <v>41075</v>
      </c>
      <c r="L32" s="77">
        <v>0.13950000000000001</v>
      </c>
      <c r="M32" s="77" t="s">
        <v>243</v>
      </c>
      <c r="N32" s="77" t="s">
        <v>244</v>
      </c>
      <c r="O32" s="77"/>
      <c r="P32" s="77" t="s">
        <v>245</v>
      </c>
      <c r="Q32" s="63">
        <v>109.88346523638045</v>
      </c>
      <c r="R32" s="63"/>
      <c r="S32" s="6"/>
      <c r="U32" s="6">
        <v>-5</v>
      </c>
      <c r="V32" s="6"/>
      <c r="W32" s="6"/>
      <c r="X32" s="6"/>
      <c r="Y32" s="6"/>
      <c r="Z32" s="6"/>
      <c r="AA32" s="6">
        <v>10</v>
      </c>
      <c r="AB32" s="6">
        <v>84</v>
      </c>
      <c r="AC32" s="63">
        <v>10.671232876712329</v>
      </c>
      <c r="AD32" s="6">
        <v>27.900000000000002</v>
      </c>
      <c r="AE32" s="62">
        <v>10</v>
      </c>
      <c r="AF32" s="77"/>
      <c r="AG32" s="77"/>
      <c r="AH32" s="77"/>
      <c r="AI32" s="63">
        <v>109.88346523638045</v>
      </c>
      <c r="AJ32" s="62"/>
      <c r="AK32" s="62"/>
      <c r="AM32" s="66">
        <v>247.45469811309277</v>
      </c>
    </row>
    <row r="33" spans="2:39" x14ac:dyDescent="0.2">
      <c r="B33" s="61" t="s">
        <v>180</v>
      </c>
      <c r="C33" s="8" t="s">
        <v>242</v>
      </c>
      <c r="D33" s="8"/>
      <c r="E33" s="6">
        <v>0</v>
      </c>
      <c r="F33" s="6"/>
      <c r="G33" s="6"/>
      <c r="H33" s="6"/>
      <c r="I33" s="6">
        <v>5</v>
      </c>
      <c r="J33" s="6">
        <v>1954</v>
      </c>
      <c r="K33" s="75">
        <v>41149</v>
      </c>
      <c r="L33" s="77">
        <v>9.8900000000000002E-2</v>
      </c>
      <c r="M33" s="77" t="s">
        <v>243</v>
      </c>
      <c r="N33" s="77" t="s">
        <v>244</v>
      </c>
      <c r="O33" s="77"/>
      <c r="P33" s="77" t="s">
        <v>245</v>
      </c>
      <c r="Q33" s="63">
        <v>0</v>
      </c>
      <c r="R33" s="63"/>
      <c r="S33" s="6"/>
      <c r="U33" s="6">
        <v>-5</v>
      </c>
      <c r="V33" s="6"/>
      <c r="W33" s="6"/>
      <c r="X33" s="6"/>
      <c r="Y33" s="6"/>
      <c r="Z33" s="6"/>
      <c r="AA33" s="6">
        <v>10</v>
      </c>
      <c r="AB33" s="6">
        <v>30</v>
      </c>
      <c r="AC33" s="63">
        <v>9.6575342465753433</v>
      </c>
      <c r="AD33" s="6">
        <v>19.78</v>
      </c>
      <c r="AE33" s="62">
        <v>10</v>
      </c>
      <c r="AF33" s="77"/>
      <c r="AG33" s="77"/>
      <c r="AH33" s="77"/>
      <c r="AI33" s="63">
        <v>0</v>
      </c>
      <c r="AJ33" s="62"/>
      <c r="AK33" s="62"/>
      <c r="AM33" s="66">
        <v>74.437534246575353</v>
      </c>
    </row>
    <row r="34" spans="2:39" x14ac:dyDescent="0.2">
      <c r="B34" s="61" t="s">
        <v>181</v>
      </c>
      <c r="C34" s="8" t="s">
        <v>242</v>
      </c>
      <c r="D34" s="8"/>
      <c r="E34" s="6">
        <v>0</v>
      </c>
      <c r="F34" s="6"/>
      <c r="G34" s="6"/>
      <c r="H34" s="6"/>
      <c r="I34" s="6">
        <v>5</v>
      </c>
      <c r="J34" s="6">
        <v>1926</v>
      </c>
      <c r="K34" s="75">
        <v>41451</v>
      </c>
      <c r="L34" s="77">
        <v>0.1232</v>
      </c>
      <c r="M34" s="77" t="s">
        <v>243</v>
      </c>
      <c r="N34" s="77" t="s">
        <v>244</v>
      </c>
      <c r="O34" s="77"/>
      <c r="P34" s="77" t="s">
        <v>245</v>
      </c>
      <c r="Q34" s="63">
        <v>5.6690776520727875</v>
      </c>
      <c r="R34" s="63"/>
      <c r="S34" s="6"/>
      <c r="U34" s="6">
        <v>-5</v>
      </c>
      <c r="V34" s="6"/>
      <c r="W34" s="6"/>
      <c r="X34" s="6"/>
      <c r="Y34" s="6"/>
      <c r="Z34" s="6"/>
      <c r="AA34" s="6">
        <v>10</v>
      </c>
      <c r="AB34" s="6">
        <v>88</v>
      </c>
      <c r="AC34" s="63">
        <v>5.5205479452054798</v>
      </c>
      <c r="AD34" s="6">
        <v>24.64</v>
      </c>
      <c r="AE34" s="62">
        <v>10</v>
      </c>
      <c r="AF34" s="77"/>
      <c r="AG34" s="77"/>
      <c r="AH34" s="77"/>
      <c r="AI34" s="63">
        <v>5.6690776520727875</v>
      </c>
      <c r="AJ34" s="62"/>
      <c r="AK34" s="62"/>
      <c r="AM34" s="66">
        <v>138.82962559727827</v>
      </c>
    </row>
    <row r="35" spans="2:39" x14ac:dyDescent="0.2">
      <c r="B35" s="61" t="s">
        <v>182</v>
      </c>
      <c r="C35" s="8" t="s">
        <v>242</v>
      </c>
      <c r="D35" s="8"/>
      <c r="E35" s="6">
        <v>11</v>
      </c>
      <c r="F35" s="6" t="s">
        <v>18</v>
      </c>
      <c r="G35" s="6"/>
      <c r="H35" s="6"/>
      <c r="I35" s="6">
        <v>0.5</v>
      </c>
      <c r="J35" s="6">
        <v>1928</v>
      </c>
      <c r="K35" s="75">
        <v>41502</v>
      </c>
      <c r="L35" s="77">
        <v>0.1116</v>
      </c>
      <c r="M35" s="77" t="s">
        <v>243</v>
      </c>
      <c r="N35" s="77" t="s">
        <v>244</v>
      </c>
      <c r="O35" s="77"/>
      <c r="P35" s="77" t="s">
        <v>245</v>
      </c>
      <c r="Q35" s="63">
        <v>51.702464097701693</v>
      </c>
      <c r="R35" s="63"/>
      <c r="S35" s="6"/>
      <c r="U35" s="6">
        <v>-5</v>
      </c>
      <c r="V35" s="6"/>
      <c r="W35" s="6">
        <v>55</v>
      </c>
      <c r="X35" s="6">
        <v>5</v>
      </c>
      <c r="Y35" s="6"/>
      <c r="Z35" s="6"/>
      <c r="AA35" s="6">
        <v>1</v>
      </c>
      <c r="AB35" s="6">
        <v>86</v>
      </c>
      <c r="AC35" s="63">
        <v>4.8219178082191778</v>
      </c>
      <c r="AD35" s="6">
        <v>22.32</v>
      </c>
      <c r="AE35" s="62">
        <v>10</v>
      </c>
      <c r="AF35" s="77"/>
      <c r="AG35" s="77"/>
      <c r="AH35" s="77"/>
      <c r="AI35" s="63">
        <v>51.702464097701693</v>
      </c>
      <c r="AJ35" s="62"/>
      <c r="AK35" s="62"/>
      <c r="AM35" s="66">
        <v>230.84438190592087</v>
      </c>
    </row>
    <row r="36" spans="2:39" x14ac:dyDescent="0.2">
      <c r="B36" s="61" t="s">
        <v>183</v>
      </c>
      <c r="C36" s="8" t="s">
        <v>242</v>
      </c>
      <c r="D36" s="8"/>
      <c r="E36" s="6">
        <v>0</v>
      </c>
      <c r="F36" s="6"/>
      <c r="G36" s="6"/>
      <c r="H36" s="6"/>
      <c r="I36" s="6">
        <v>5</v>
      </c>
      <c r="J36" s="6">
        <v>1928</v>
      </c>
      <c r="K36" s="75">
        <v>41671</v>
      </c>
      <c r="L36" s="77">
        <v>0.59209999999999996</v>
      </c>
      <c r="M36" s="77" t="s">
        <v>243</v>
      </c>
      <c r="N36" s="77" t="s">
        <v>244</v>
      </c>
      <c r="O36" s="77"/>
      <c r="P36" s="77" t="s">
        <v>245</v>
      </c>
      <c r="Q36" s="63">
        <v>25.598225604714319</v>
      </c>
      <c r="R36" s="63"/>
      <c r="S36" s="6"/>
      <c r="U36" s="6">
        <v>-5</v>
      </c>
      <c r="V36" s="6"/>
      <c r="W36" s="6"/>
      <c r="X36" s="6"/>
      <c r="Y36" s="6"/>
      <c r="Z36" s="6"/>
      <c r="AA36" s="6">
        <v>10</v>
      </c>
      <c r="AB36" s="6">
        <v>86</v>
      </c>
      <c r="AC36" s="63">
        <v>2.506849315068493</v>
      </c>
      <c r="AD36" s="6">
        <v>118.41999999999999</v>
      </c>
      <c r="AE36" s="62">
        <v>10</v>
      </c>
      <c r="AF36" s="77"/>
      <c r="AG36" s="77"/>
      <c r="AH36" s="77"/>
      <c r="AI36" s="63">
        <v>25.598225604714319</v>
      </c>
      <c r="AJ36" s="62"/>
      <c r="AK36" s="62"/>
      <c r="AM36" s="66">
        <v>247.52507491978278</v>
      </c>
    </row>
    <row r="37" spans="2:39" x14ac:dyDescent="0.2">
      <c r="B37" s="61" t="s">
        <v>184</v>
      </c>
      <c r="C37" s="8" t="s">
        <v>242</v>
      </c>
      <c r="D37" s="8"/>
      <c r="E37" s="6">
        <v>0</v>
      </c>
      <c r="F37" s="6"/>
      <c r="G37" s="6"/>
      <c r="H37" s="6"/>
      <c r="I37" s="6">
        <v>5</v>
      </c>
      <c r="J37" s="6">
        <v>1952</v>
      </c>
      <c r="K37" s="75">
        <v>41695</v>
      </c>
      <c r="L37" s="77">
        <v>0.19719999999999999</v>
      </c>
      <c r="M37" s="77" t="s">
        <v>243</v>
      </c>
      <c r="N37" s="77" t="s">
        <v>244</v>
      </c>
      <c r="O37" s="77"/>
      <c r="P37" s="77" t="s">
        <v>245</v>
      </c>
      <c r="Q37" s="63">
        <v>0</v>
      </c>
      <c r="R37" s="63"/>
      <c r="S37" s="6" t="s">
        <v>9</v>
      </c>
      <c r="U37" s="6">
        <v>-5</v>
      </c>
      <c r="V37" s="6"/>
      <c r="W37" s="6"/>
      <c r="X37" s="6"/>
      <c r="Y37" s="6"/>
      <c r="Z37" s="6"/>
      <c r="AA37" s="6">
        <v>10</v>
      </c>
      <c r="AB37" s="6">
        <v>31</v>
      </c>
      <c r="AC37" s="63">
        <v>2.1780821917808217</v>
      </c>
      <c r="AD37" s="6">
        <v>39.44</v>
      </c>
      <c r="AE37" s="62">
        <v>10</v>
      </c>
      <c r="AF37" s="77"/>
      <c r="AG37" s="77"/>
      <c r="AH37" s="77"/>
      <c r="AI37" s="63">
        <v>0</v>
      </c>
      <c r="AJ37" s="62"/>
      <c r="AK37" s="62">
        <v>-10</v>
      </c>
      <c r="AM37" s="66">
        <v>77.618082191780815</v>
      </c>
    </row>
    <row r="38" spans="2:39" x14ac:dyDescent="0.2">
      <c r="B38" s="61" t="s">
        <v>185</v>
      </c>
      <c r="C38" s="8" t="s">
        <v>242</v>
      </c>
      <c r="D38" s="8"/>
      <c r="E38" s="6">
        <v>3</v>
      </c>
      <c r="F38" s="6" t="s">
        <v>18</v>
      </c>
      <c r="G38" s="6"/>
      <c r="H38" s="6"/>
      <c r="I38" s="6">
        <v>5</v>
      </c>
      <c r="J38" s="6">
        <v>1928</v>
      </c>
      <c r="K38" s="75">
        <v>41695</v>
      </c>
      <c r="L38" s="77">
        <v>0.18260000000000001</v>
      </c>
      <c r="M38" s="77" t="s">
        <v>243</v>
      </c>
      <c r="N38" s="77" t="s">
        <v>244</v>
      </c>
      <c r="O38" s="77"/>
      <c r="P38" s="77" t="s">
        <v>245</v>
      </c>
      <c r="Q38" s="63">
        <v>26.164973778797481</v>
      </c>
      <c r="R38" s="63"/>
      <c r="S38" s="6"/>
      <c r="U38" s="6">
        <v>-5</v>
      </c>
      <c r="V38" s="6"/>
      <c r="W38" s="6">
        <v>15</v>
      </c>
      <c r="X38" s="6">
        <v>5</v>
      </c>
      <c r="Y38" s="6"/>
      <c r="Z38" s="6"/>
      <c r="AA38" s="6">
        <v>10</v>
      </c>
      <c r="AB38" s="6">
        <v>86</v>
      </c>
      <c r="AC38" s="63">
        <v>2.1780821917808217</v>
      </c>
      <c r="AD38" s="6">
        <v>36.520000000000003</v>
      </c>
      <c r="AE38" s="62">
        <v>10</v>
      </c>
      <c r="AF38" s="77"/>
      <c r="AG38" s="77"/>
      <c r="AH38" s="77"/>
      <c r="AI38" s="63">
        <v>26.164973778797481</v>
      </c>
      <c r="AJ38" s="62"/>
      <c r="AK38" s="62"/>
      <c r="AM38" s="66">
        <v>185.8630559705783</v>
      </c>
    </row>
    <row r="39" spans="2:39" x14ac:dyDescent="0.2">
      <c r="B39" s="61" t="s">
        <v>186</v>
      </c>
      <c r="C39" s="8" t="s">
        <v>242</v>
      </c>
      <c r="D39" s="8"/>
      <c r="E39" s="6">
        <v>0</v>
      </c>
      <c r="F39" s="6"/>
      <c r="G39" s="6"/>
      <c r="H39" s="6"/>
      <c r="I39" s="6">
        <v>5</v>
      </c>
      <c r="J39" s="6">
        <v>1930</v>
      </c>
      <c r="K39" s="75">
        <v>41715</v>
      </c>
      <c r="L39" s="77">
        <v>0.19719999999999999</v>
      </c>
      <c r="M39" s="77" t="s">
        <v>243</v>
      </c>
      <c r="N39" s="77" t="s">
        <v>244</v>
      </c>
      <c r="O39" s="77"/>
      <c r="P39" s="77" t="s">
        <v>245</v>
      </c>
      <c r="Q39" s="63">
        <v>19.198669203535736</v>
      </c>
      <c r="R39" s="63"/>
      <c r="S39" s="6" t="s">
        <v>33</v>
      </c>
      <c r="U39" s="6">
        <v>-5</v>
      </c>
      <c r="V39" s="6"/>
      <c r="W39" s="6"/>
      <c r="X39" s="6"/>
      <c r="Y39" s="6"/>
      <c r="Z39" s="6"/>
      <c r="AA39" s="6">
        <v>10</v>
      </c>
      <c r="AB39" s="6">
        <v>84</v>
      </c>
      <c r="AC39" s="63">
        <v>1.904109589041096</v>
      </c>
      <c r="AD39" s="6">
        <v>39.44</v>
      </c>
      <c r="AE39" s="62">
        <v>10</v>
      </c>
      <c r="AF39" s="77"/>
      <c r="AG39" s="77"/>
      <c r="AH39" s="77"/>
      <c r="AI39" s="63">
        <v>19.198669203535736</v>
      </c>
      <c r="AJ39" s="62"/>
      <c r="AK39" s="62">
        <v>-15</v>
      </c>
      <c r="AM39" s="66">
        <v>144.54277879257683</v>
      </c>
    </row>
    <row r="40" spans="2:39" x14ac:dyDescent="0.2">
      <c r="B40" s="61" t="s">
        <v>187</v>
      </c>
      <c r="C40" s="8" t="s">
        <v>242</v>
      </c>
      <c r="D40" s="8"/>
      <c r="E40" s="6">
        <v>1</v>
      </c>
      <c r="F40" s="6" t="s">
        <v>18</v>
      </c>
      <c r="G40" s="6"/>
      <c r="H40" s="6"/>
      <c r="I40" s="6">
        <v>5</v>
      </c>
      <c r="J40" s="6">
        <v>1970</v>
      </c>
      <c r="K40" s="75">
        <v>41724</v>
      </c>
      <c r="L40" s="77">
        <v>0.19120000000000001</v>
      </c>
      <c r="M40" s="77" t="s">
        <v>243</v>
      </c>
      <c r="N40" s="77" t="s">
        <v>244</v>
      </c>
      <c r="O40" s="77"/>
      <c r="P40" s="77" t="s">
        <v>245</v>
      </c>
      <c r="Q40" s="63">
        <v>0</v>
      </c>
      <c r="R40" s="63"/>
      <c r="S40" s="6"/>
      <c r="U40" s="6">
        <v>-5</v>
      </c>
      <c r="V40" s="6"/>
      <c r="W40" s="6">
        <v>5</v>
      </c>
      <c r="X40" s="6">
        <v>5</v>
      </c>
      <c r="Y40" s="6"/>
      <c r="Z40" s="6"/>
      <c r="AA40" s="6">
        <v>10</v>
      </c>
      <c r="AB40" s="6">
        <v>8.8000000000000007</v>
      </c>
      <c r="AC40" s="63">
        <v>1.7808219178082192</v>
      </c>
      <c r="AD40" s="6">
        <v>38.24</v>
      </c>
      <c r="AE40" s="62">
        <v>10</v>
      </c>
      <c r="AF40" s="77"/>
      <c r="AG40" s="77"/>
      <c r="AH40" s="77"/>
      <c r="AI40" s="63">
        <v>0</v>
      </c>
      <c r="AJ40" s="62"/>
      <c r="AK40" s="62"/>
      <c r="AM40" s="66">
        <v>73.820821917808217</v>
      </c>
    </row>
    <row r="41" spans="2:39" x14ac:dyDescent="0.25">
      <c r="B41" s="61" t="s">
        <v>188</v>
      </c>
      <c r="C41" s="8" t="s">
        <v>242</v>
      </c>
      <c r="D41" s="8"/>
      <c r="E41" s="6">
        <v>0</v>
      </c>
      <c r="F41" s="6"/>
      <c r="G41" s="6"/>
      <c r="H41" s="6" t="s">
        <v>3</v>
      </c>
      <c r="I41" s="6">
        <v>5</v>
      </c>
      <c r="J41" s="6">
        <v>1970</v>
      </c>
      <c r="K41" s="75">
        <v>41804</v>
      </c>
      <c r="L41" s="77">
        <v>0.13389999999999999</v>
      </c>
      <c r="M41" s="77" t="s">
        <v>243</v>
      </c>
      <c r="N41" s="77" t="s">
        <v>244</v>
      </c>
      <c r="O41" s="77"/>
      <c r="P41" s="77" t="s">
        <v>245</v>
      </c>
      <c r="Q41" s="63">
        <v>5.6690776520727875</v>
      </c>
      <c r="R41" s="63"/>
      <c r="S41" s="6"/>
      <c r="U41" s="6">
        <v>-5</v>
      </c>
      <c r="V41" s="6"/>
      <c r="W41" s="6"/>
      <c r="X41" s="6"/>
      <c r="Y41" s="6"/>
      <c r="Z41" s="6">
        <v>-10</v>
      </c>
      <c r="AA41" s="6">
        <v>10</v>
      </c>
      <c r="AB41" s="6">
        <v>8.8000000000000007</v>
      </c>
      <c r="AC41" s="63">
        <v>0.68493150684931503</v>
      </c>
      <c r="AD41" s="6">
        <v>26.779999999999998</v>
      </c>
      <c r="AE41" s="62">
        <v>10</v>
      </c>
      <c r="AF41" s="77"/>
      <c r="AG41" s="77"/>
      <c r="AH41" s="77"/>
      <c r="AI41" s="63">
        <v>5.6690776520727875</v>
      </c>
      <c r="AJ41" s="62"/>
      <c r="AK41" s="62"/>
      <c r="AM41" s="66">
        <v>46.934009158922102</v>
      </c>
    </row>
    <row r="42" spans="2:39" x14ac:dyDescent="0.25">
      <c r="B42" s="61" t="s">
        <v>189</v>
      </c>
      <c r="C42" s="8" t="s">
        <v>242</v>
      </c>
      <c r="D42" s="8"/>
      <c r="E42" s="6">
        <v>0</v>
      </c>
      <c r="F42" s="6" t="s">
        <v>18</v>
      </c>
      <c r="G42" s="6"/>
      <c r="H42" s="6" t="s">
        <v>3</v>
      </c>
      <c r="I42" s="6">
        <v>5</v>
      </c>
      <c r="J42" s="6">
        <v>1938</v>
      </c>
      <c r="K42" s="75">
        <v>41805</v>
      </c>
      <c r="L42" s="77">
        <v>0.1749</v>
      </c>
      <c r="M42" s="77" t="s">
        <v>243</v>
      </c>
      <c r="N42" s="77" t="s">
        <v>244</v>
      </c>
      <c r="O42" s="77"/>
      <c r="P42" s="77" t="s">
        <v>249</v>
      </c>
      <c r="Q42" s="63">
        <v>19.198669203535736</v>
      </c>
      <c r="R42" s="63"/>
      <c r="S42" s="6"/>
      <c r="U42" s="6">
        <v>-5</v>
      </c>
      <c r="V42" s="6"/>
      <c r="W42" s="6"/>
      <c r="X42" s="6">
        <v>5</v>
      </c>
      <c r="Y42" s="6"/>
      <c r="Z42" s="6">
        <v>-10</v>
      </c>
      <c r="AA42" s="6">
        <v>10</v>
      </c>
      <c r="AB42" s="6">
        <v>76</v>
      </c>
      <c r="AC42" s="63">
        <v>0.67123287671232879</v>
      </c>
      <c r="AD42" s="6">
        <v>34.979999999999997</v>
      </c>
      <c r="AE42" s="62">
        <v>10</v>
      </c>
      <c r="AF42" s="77"/>
      <c r="AG42" s="77"/>
      <c r="AH42" s="62">
        <v>20</v>
      </c>
      <c r="AI42" s="63">
        <v>19.198669203535736</v>
      </c>
      <c r="AJ42" s="62"/>
      <c r="AK42" s="62"/>
      <c r="AM42" s="66">
        <v>160.84990208024806</v>
      </c>
    </row>
    <row r="43" spans="2:39" x14ac:dyDescent="0.25">
      <c r="B43" s="61" t="s">
        <v>190</v>
      </c>
      <c r="C43" s="8" t="s">
        <v>242</v>
      </c>
      <c r="D43" s="8"/>
      <c r="E43" s="6">
        <v>5</v>
      </c>
      <c r="F43" s="6"/>
      <c r="G43" s="6"/>
      <c r="H43" s="6"/>
      <c r="I43" s="6">
        <v>4</v>
      </c>
      <c r="J43" s="6">
        <v>1947</v>
      </c>
      <c r="K43" s="75">
        <v>41806</v>
      </c>
      <c r="L43" s="77">
        <v>0.159</v>
      </c>
      <c r="M43" s="77" t="s">
        <v>243</v>
      </c>
      <c r="N43" s="77" t="s">
        <v>244</v>
      </c>
      <c r="O43" s="77"/>
      <c r="P43" s="77" t="s">
        <v>245</v>
      </c>
      <c r="Q43" s="63">
        <v>51.196451209428638</v>
      </c>
      <c r="R43" s="63"/>
      <c r="S43" s="6"/>
      <c r="U43" s="6">
        <v>-5</v>
      </c>
      <c r="V43" s="6"/>
      <c r="W43" s="6">
        <v>25</v>
      </c>
      <c r="X43" s="6"/>
      <c r="Y43" s="6"/>
      <c r="Z43" s="6"/>
      <c r="AA43" s="6">
        <v>8</v>
      </c>
      <c r="AB43" s="6">
        <v>67</v>
      </c>
      <c r="AC43" s="63">
        <v>0.65753424657534243</v>
      </c>
      <c r="AD43" s="6">
        <v>31.8</v>
      </c>
      <c r="AE43" s="62">
        <v>10</v>
      </c>
      <c r="AF43" s="77"/>
      <c r="AG43" s="77"/>
      <c r="AH43" s="77"/>
      <c r="AI43" s="63">
        <v>51.196451209428638</v>
      </c>
      <c r="AJ43" s="62"/>
      <c r="AK43" s="62"/>
      <c r="AM43" s="66">
        <v>188.65398545600397</v>
      </c>
    </row>
    <row r="44" spans="2:39" x14ac:dyDescent="0.25">
      <c r="B44" s="61" t="s">
        <v>191</v>
      </c>
      <c r="C44" s="8" t="s">
        <v>242</v>
      </c>
      <c r="D44" s="8"/>
      <c r="E44" s="6">
        <v>2</v>
      </c>
      <c r="F44" s="6"/>
      <c r="G44" s="6"/>
      <c r="H44" s="6"/>
      <c r="I44" s="6">
        <v>5</v>
      </c>
      <c r="J44" s="6">
        <v>1957</v>
      </c>
      <c r="K44" s="75">
        <v>41807</v>
      </c>
      <c r="L44" s="77">
        <v>0.17710000000000001</v>
      </c>
      <c r="M44" s="77" t="s">
        <v>243</v>
      </c>
      <c r="N44" s="77" t="s">
        <v>244</v>
      </c>
      <c r="O44" s="77"/>
      <c r="P44" s="77" t="s">
        <v>245</v>
      </c>
      <c r="Q44" s="63">
        <v>38.397338407071473</v>
      </c>
      <c r="R44" s="63"/>
      <c r="S44" s="6"/>
      <c r="U44" s="6">
        <v>-5</v>
      </c>
      <c r="V44" s="6"/>
      <c r="W44" s="6">
        <v>10</v>
      </c>
      <c r="X44" s="6"/>
      <c r="Y44" s="6"/>
      <c r="Z44" s="6"/>
      <c r="AA44" s="6">
        <v>10</v>
      </c>
      <c r="AB44" s="6">
        <v>28.5</v>
      </c>
      <c r="AC44" s="63">
        <v>0.64383561643835618</v>
      </c>
      <c r="AD44" s="6">
        <v>35.42</v>
      </c>
      <c r="AE44" s="62">
        <v>10</v>
      </c>
      <c r="AF44" s="77"/>
      <c r="AG44" s="77"/>
      <c r="AH44" s="77"/>
      <c r="AI44" s="63">
        <v>38.397338407071473</v>
      </c>
      <c r="AJ44" s="62"/>
      <c r="AK44" s="62"/>
      <c r="AM44" s="66">
        <v>127.96117402350983</v>
      </c>
    </row>
    <row r="45" spans="2:39" x14ac:dyDescent="0.25">
      <c r="K45" s="20"/>
    </row>
    <row r="46" spans="2:39" ht="15.75" thickBot="1" x14ac:dyDescent="0.3">
      <c r="K46" s="20"/>
      <c r="AL46" s="23" t="s">
        <v>200</v>
      </c>
      <c r="AM46" s="67">
        <f>SUM(AM13:AM44)</f>
        <v>6138.3575484624153</v>
      </c>
    </row>
    <row r="47" spans="2:39" ht="15.75" thickTop="1" x14ac:dyDescent="0.25">
      <c r="K47" s="20"/>
    </row>
    <row r="48" spans="2:39" x14ac:dyDescent="0.25">
      <c r="K48" s="20"/>
    </row>
    <row r="49" spans="11:11" x14ac:dyDescent="0.25">
      <c r="K49" s="20"/>
    </row>
    <row r="50" spans="11:11" x14ac:dyDescent="0.25">
      <c r="K50" s="20"/>
    </row>
    <row r="51" spans="11:11" x14ac:dyDescent="0.25">
      <c r="K51" s="20"/>
    </row>
    <row r="52" spans="11:11" x14ac:dyDescent="0.25">
      <c r="K52" s="20"/>
    </row>
  </sheetData>
  <mergeCells count="6">
    <mergeCell ref="U3:AK3"/>
    <mergeCell ref="C11:S11"/>
    <mergeCell ref="U11:AK11"/>
    <mergeCell ref="AN11:AP12"/>
    <mergeCell ref="B7:I7"/>
    <mergeCell ref="B8:I8"/>
  </mergeCells>
  <conditionalFormatting sqref="AM13:AM44">
    <cfRule type="colorScale" priority="1">
      <colorScale>
        <cfvo type="min"/>
        <cfvo type="percentile" val="70"/>
        <cfvo type="max"/>
        <color rgb="FF008000"/>
        <color rgb="FFFFEB84"/>
        <color rgb="FFFF0000"/>
      </colorScale>
    </cfRule>
  </conditionalFormatting>
  <pageMargins left="0.25" right="0.25" top="0.75" bottom="0.75" header="0.3" footer="0.3"/>
  <pageSetup paperSize="17" orientation="landscape" horizontalDpi="4294967292" verticalDpi="4294967292" r:id="rId1"/>
  <headerFooter>
    <oddHeader>&amp;CBasic Risk Assessment Template - Hazardous Liquid Pipelines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B1:M38"/>
  <sheetViews>
    <sheetView topLeftCell="B1" workbookViewId="0">
      <selection activeCell="B5" sqref="B5"/>
    </sheetView>
  </sheetViews>
  <sheetFormatPr defaultColWidth="11.42578125" defaultRowHeight="15" x14ac:dyDescent="0.25"/>
  <cols>
    <col min="1" max="1" width="26.140625" customWidth="1"/>
    <col min="2" max="2" width="29.28515625" style="1" customWidth="1"/>
    <col min="3" max="8" width="9.85546875" customWidth="1"/>
  </cols>
  <sheetData>
    <row r="1" spans="2:13" x14ac:dyDescent="0.2">
      <c r="B1"/>
    </row>
    <row r="2" spans="2:13" x14ac:dyDescent="0.2">
      <c r="B2"/>
    </row>
    <row r="3" spans="2:13" x14ac:dyDescent="0.2">
      <c r="B3"/>
    </row>
    <row r="4" spans="2:13" ht="42" customHeight="1" x14ac:dyDescent="0.2">
      <c r="B4"/>
      <c r="F4" s="99" t="s">
        <v>217</v>
      </c>
      <c r="G4" s="100"/>
      <c r="H4" s="101"/>
    </row>
    <row r="5" spans="2:13" ht="27.95" customHeight="1" x14ac:dyDescent="0.2">
      <c r="B5" s="106" t="s">
        <v>252</v>
      </c>
      <c r="C5" s="107"/>
      <c r="D5" s="108"/>
      <c r="F5" s="99" t="s">
        <v>253</v>
      </c>
      <c r="G5" s="100"/>
      <c r="H5" s="101"/>
      <c r="J5" s="88" t="s">
        <v>254</v>
      </c>
      <c r="K5" s="89"/>
      <c r="L5" s="89"/>
      <c r="M5" s="90"/>
    </row>
    <row r="6" spans="2:13" ht="45" x14ac:dyDescent="0.2">
      <c r="B6" s="78"/>
      <c r="C6" s="79" t="s">
        <v>205</v>
      </c>
      <c r="D6" s="72" t="s">
        <v>208</v>
      </c>
      <c r="F6" s="72" t="s">
        <v>206</v>
      </c>
      <c r="G6" s="72" t="s">
        <v>207</v>
      </c>
      <c r="H6" s="72" t="s">
        <v>221</v>
      </c>
      <c r="J6" s="19" t="s">
        <v>218</v>
      </c>
      <c r="K6" s="19" t="s">
        <v>219</v>
      </c>
      <c r="L6" s="19" t="s">
        <v>220</v>
      </c>
      <c r="M6" s="19" t="s">
        <v>215</v>
      </c>
    </row>
    <row r="7" spans="2:13" x14ac:dyDescent="0.2">
      <c r="B7" s="61" t="s">
        <v>160</v>
      </c>
      <c r="C7" s="62">
        <v>635</v>
      </c>
      <c r="D7" s="63">
        <v>38.397338407071473</v>
      </c>
      <c r="F7" s="64">
        <v>2</v>
      </c>
      <c r="G7" s="62">
        <v>24</v>
      </c>
      <c r="H7" s="73">
        <v>0.97</v>
      </c>
      <c r="J7" s="63">
        <f t="shared" ref="J7:J25" si="0">D7*G7*0.1/ H7</f>
        <v>95.003723893785093</v>
      </c>
      <c r="K7" s="63">
        <f t="shared" ref="K7:K25" si="1">0.5*D7*F7/H7</f>
        <v>39.584884955743789</v>
      </c>
      <c r="L7" s="63">
        <f>MAX(J7:K7)</f>
        <v>95.003723893785093</v>
      </c>
      <c r="M7" s="63">
        <f t="shared" ref="M7:M38" si="2">L7+C7</f>
        <v>730.00372389378504</v>
      </c>
    </row>
    <row r="8" spans="2:13" x14ac:dyDescent="0.2">
      <c r="B8" s="61" t="s">
        <v>161</v>
      </c>
      <c r="C8" s="62">
        <v>1658</v>
      </c>
      <c r="D8" s="63">
        <v>52.329947557594963</v>
      </c>
      <c r="F8" s="64">
        <v>0.25</v>
      </c>
      <c r="G8" s="62">
        <v>168</v>
      </c>
      <c r="H8" s="73">
        <v>0.97</v>
      </c>
      <c r="J8" s="63">
        <f t="shared" si="0"/>
        <v>906.33311233772724</v>
      </c>
      <c r="K8" s="63">
        <f t="shared" si="1"/>
        <v>6.7435499429890422</v>
      </c>
      <c r="L8" s="63">
        <f t="shared" ref="L8:L38" si="3">MAX(J8:K8)</f>
        <v>906.33311233772724</v>
      </c>
      <c r="M8" s="63">
        <f t="shared" si="2"/>
        <v>2564.3331123377275</v>
      </c>
    </row>
    <row r="9" spans="2:13" x14ac:dyDescent="0.2">
      <c r="B9" s="61" t="s">
        <v>162</v>
      </c>
      <c r="C9" s="62">
        <v>1658</v>
      </c>
      <c r="D9" s="63">
        <v>52.329947557594963</v>
      </c>
      <c r="F9" s="64">
        <v>0.25</v>
      </c>
      <c r="G9" s="62">
        <v>168</v>
      </c>
      <c r="H9" s="73">
        <v>0.97</v>
      </c>
      <c r="J9" s="63">
        <f t="shared" si="0"/>
        <v>906.33311233772724</v>
      </c>
      <c r="K9" s="63">
        <f t="shared" si="1"/>
        <v>6.7435499429890422</v>
      </c>
      <c r="L9" s="63">
        <f t="shared" si="3"/>
        <v>906.33311233772724</v>
      </c>
      <c r="M9" s="63">
        <f t="shared" si="2"/>
        <v>2564.3331123377275</v>
      </c>
    </row>
    <row r="10" spans="2:13" x14ac:dyDescent="0.2">
      <c r="B10" s="61" t="s">
        <v>163</v>
      </c>
      <c r="C10" s="62">
        <v>1658</v>
      </c>
      <c r="D10" s="63">
        <v>52.329947557594963</v>
      </c>
      <c r="F10" s="64">
        <v>0.25</v>
      </c>
      <c r="G10" s="62">
        <v>168</v>
      </c>
      <c r="H10" s="73">
        <v>0.97</v>
      </c>
      <c r="J10" s="63">
        <f t="shared" si="0"/>
        <v>906.33311233772724</v>
      </c>
      <c r="K10" s="63">
        <f t="shared" si="1"/>
        <v>6.7435499429890422</v>
      </c>
      <c r="L10" s="63">
        <f t="shared" si="3"/>
        <v>906.33311233772724</v>
      </c>
      <c r="M10" s="63">
        <f t="shared" si="2"/>
        <v>2564.3331123377275</v>
      </c>
    </row>
    <row r="11" spans="2:13" x14ac:dyDescent="0.2">
      <c r="B11" s="61" t="s">
        <v>164</v>
      </c>
      <c r="C11" s="62">
        <v>1658</v>
      </c>
      <c r="D11" s="63">
        <v>52.329947557594963</v>
      </c>
      <c r="F11" s="64">
        <v>0.25</v>
      </c>
      <c r="G11" s="62">
        <v>168</v>
      </c>
      <c r="H11" s="73">
        <v>0.97</v>
      </c>
      <c r="J11" s="63">
        <f t="shared" si="0"/>
        <v>906.33311233772724</v>
      </c>
      <c r="K11" s="63">
        <f t="shared" si="1"/>
        <v>6.7435499429890422</v>
      </c>
      <c r="L11" s="63">
        <f t="shared" si="3"/>
        <v>906.33311233772724</v>
      </c>
      <c r="M11" s="63">
        <f t="shared" si="2"/>
        <v>2564.3331123377275</v>
      </c>
    </row>
    <row r="12" spans="2:13" x14ac:dyDescent="0.2">
      <c r="B12" s="61" t="s">
        <v>165</v>
      </c>
      <c r="C12" s="62">
        <v>1658</v>
      </c>
      <c r="D12" s="63">
        <v>52.329947557594963</v>
      </c>
      <c r="F12" s="64">
        <v>0.25</v>
      </c>
      <c r="G12" s="62">
        <v>168</v>
      </c>
      <c r="H12" s="73">
        <v>0.97</v>
      </c>
      <c r="J12" s="63">
        <f t="shared" si="0"/>
        <v>906.33311233772724</v>
      </c>
      <c r="K12" s="63">
        <f t="shared" si="1"/>
        <v>6.7435499429890422</v>
      </c>
      <c r="L12" s="63">
        <f t="shared" si="3"/>
        <v>906.33311233772724</v>
      </c>
      <c r="M12" s="63">
        <f t="shared" si="2"/>
        <v>2564.3331123377275</v>
      </c>
    </row>
    <row r="13" spans="2:13" x14ac:dyDescent="0.2">
      <c r="B13" s="61" t="s">
        <v>166</v>
      </c>
      <c r="C13" s="62">
        <v>1894</v>
      </c>
      <c r="D13" s="63">
        <v>51.702464097701693</v>
      </c>
      <c r="F13" s="64">
        <v>2</v>
      </c>
      <c r="G13" s="62">
        <v>24</v>
      </c>
      <c r="H13" s="73">
        <v>0.97</v>
      </c>
      <c r="J13" s="63">
        <f t="shared" si="0"/>
        <v>127.9236225097774</v>
      </c>
      <c r="K13" s="63">
        <f t="shared" si="1"/>
        <v>53.301509379073913</v>
      </c>
      <c r="L13" s="63">
        <f t="shared" si="3"/>
        <v>127.9236225097774</v>
      </c>
      <c r="M13" s="63">
        <f t="shared" si="2"/>
        <v>2021.9236225097775</v>
      </c>
    </row>
    <row r="14" spans="2:13" x14ac:dyDescent="0.2">
      <c r="B14" s="61" t="s">
        <v>167</v>
      </c>
      <c r="C14" s="62">
        <v>1771</v>
      </c>
      <c r="D14" s="63">
        <v>68.936618796935591</v>
      </c>
      <c r="F14" s="64">
        <v>2</v>
      </c>
      <c r="G14" s="62">
        <v>24</v>
      </c>
      <c r="H14" s="73">
        <v>0.97</v>
      </c>
      <c r="J14" s="63">
        <f t="shared" si="0"/>
        <v>170.56483001303653</v>
      </c>
      <c r="K14" s="63">
        <f t="shared" si="1"/>
        <v>71.068679172098555</v>
      </c>
      <c r="L14" s="63">
        <f t="shared" si="3"/>
        <v>170.56483001303653</v>
      </c>
      <c r="M14" s="63">
        <f t="shared" si="2"/>
        <v>1941.5648300130365</v>
      </c>
    </row>
    <row r="15" spans="2:13" x14ac:dyDescent="0.2">
      <c r="B15" s="61" t="s">
        <v>168</v>
      </c>
      <c r="C15" s="62">
        <v>1710</v>
      </c>
      <c r="D15" s="63">
        <v>96.752994343345819</v>
      </c>
      <c r="F15" s="64">
        <v>2</v>
      </c>
      <c r="G15" s="62">
        <v>24</v>
      </c>
      <c r="H15" s="73">
        <v>0.97</v>
      </c>
      <c r="J15" s="63">
        <f t="shared" si="0"/>
        <v>239.38885198353609</v>
      </c>
      <c r="K15" s="63">
        <f t="shared" si="1"/>
        <v>99.745354993140026</v>
      </c>
      <c r="L15" s="63">
        <f t="shared" si="3"/>
        <v>239.38885198353609</v>
      </c>
      <c r="M15" s="63">
        <f t="shared" si="2"/>
        <v>1949.3888519835361</v>
      </c>
    </row>
    <row r="16" spans="2:13" x14ac:dyDescent="0.2">
      <c r="B16" s="61" t="s">
        <v>169</v>
      </c>
      <c r="C16" s="62">
        <v>1936</v>
      </c>
      <c r="D16" s="63">
        <v>54.941732618190223</v>
      </c>
      <c r="F16" s="64">
        <v>2</v>
      </c>
      <c r="G16" s="62">
        <v>24</v>
      </c>
      <c r="H16" s="73">
        <v>0.97</v>
      </c>
      <c r="J16" s="63">
        <f t="shared" si="0"/>
        <v>135.93830750892428</v>
      </c>
      <c r="K16" s="63">
        <f t="shared" si="1"/>
        <v>56.640961462051777</v>
      </c>
      <c r="L16" s="63">
        <f t="shared" si="3"/>
        <v>135.93830750892428</v>
      </c>
      <c r="M16" s="63">
        <f t="shared" si="2"/>
        <v>2071.9383075089245</v>
      </c>
    </row>
    <row r="17" spans="2:13" x14ac:dyDescent="0.2">
      <c r="B17" s="61" t="s">
        <v>170</v>
      </c>
      <c r="C17" s="62">
        <v>2349</v>
      </c>
      <c r="D17" s="63">
        <v>107.9648755007621</v>
      </c>
      <c r="F17" s="64">
        <v>2</v>
      </c>
      <c r="G17" s="62">
        <v>24</v>
      </c>
      <c r="H17" s="73">
        <v>0.97</v>
      </c>
      <c r="J17" s="63">
        <f t="shared" si="0"/>
        <v>267.12958886786498</v>
      </c>
      <c r="K17" s="63">
        <f t="shared" si="1"/>
        <v>111.30399536161042</v>
      </c>
      <c r="L17" s="63">
        <f t="shared" si="3"/>
        <v>267.12958886786498</v>
      </c>
      <c r="M17" s="63">
        <f t="shared" si="2"/>
        <v>2616.1295888678651</v>
      </c>
    </row>
    <row r="18" spans="2:13" x14ac:dyDescent="0.2">
      <c r="B18" s="61" t="s">
        <v>171</v>
      </c>
      <c r="C18" s="62">
        <v>2249</v>
      </c>
      <c r="D18" s="63">
        <v>107.9648755007621</v>
      </c>
      <c r="F18" s="64">
        <v>2</v>
      </c>
      <c r="G18" s="62">
        <v>24</v>
      </c>
      <c r="H18" s="73">
        <v>0.97</v>
      </c>
      <c r="J18" s="63">
        <f t="shared" si="0"/>
        <v>267.12958886786498</v>
      </c>
      <c r="K18" s="63">
        <f t="shared" si="1"/>
        <v>111.30399536161042</v>
      </c>
      <c r="L18" s="63">
        <f t="shared" si="3"/>
        <v>267.12958886786498</v>
      </c>
      <c r="M18" s="63">
        <f t="shared" si="2"/>
        <v>2516.1295888678651</v>
      </c>
    </row>
    <row r="19" spans="2:13" x14ac:dyDescent="0.2">
      <c r="B19" s="61" t="s">
        <v>172</v>
      </c>
      <c r="C19" s="62">
        <v>1419</v>
      </c>
      <c r="D19" s="63">
        <v>129.00399245779442</v>
      </c>
      <c r="F19" s="64">
        <v>2</v>
      </c>
      <c r="G19" s="62">
        <v>24</v>
      </c>
      <c r="H19" s="73">
        <v>0.97</v>
      </c>
      <c r="J19" s="63">
        <f t="shared" si="0"/>
        <v>319.18513597804809</v>
      </c>
      <c r="K19" s="63">
        <f t="shared" si="1"/>
        <v>132.99380665752003</v>
      </c>
      <c r="L19" s="63">
        <f t="shared" si="3"/>
        <v>319.18513597804809</v>
      </c>
      <c r="M19" s="63">
        <f t="shared" si="2"/>
        <v>1738.185135978048</v>
      </c>
    </row>
    <row r="20" spans="2:13" x14ac:dyDescent="0.2">
      <c r="B20" s="61" t="s">
        <v>173</v>
      </c>
      <c r="C20" s="62">
        <v>2513</v>
      </c>
      <c r="D20" s="63">
        <v>51.702464097701693</v>
      </c>
      <c r="F20" s="64">
        <v>2</v>
      </c>
      <c r="G20" s="62">
        <v>24</v>
      </c>
      <c r="H20" s="73">
        <v>0.97</v>
      </c>
      <c r="J20" s="63">
        <f t="shared" si="0"/>
        <v>127.9236225097774</v>
      </c>
      <c r="K20" s="63">
        <f t="shared" si="1"/>
        <v>53.301509379073913</v>
      </c>
      <c r="L20" s="63">
        <f t="shared" si="3"/>
        <v>127.9236225097774</v>
      </c>
      <c r="M20" s="63">
        <f t="shared" si="2"/>
        <v>2640.9236225097775</v>
      </c>
    </row>
    <row r="21" spans="2:13" x14ac:dyDescent="0.2">
      <c r="B21" s="61" t="s">
        <v>174</v>
      </c>
      <c r="C21" s="62">
        <v>635</v>
      </c>
      <c r="D21" s="63">
        <v>32.965039570914129</v>
      </c>
      <c r="F21" s="64">
        <v>2</v>
      </c>
      <c r="G21" s="62">
        <v>24</v>
      </c>
      <c r="H21" s="73">
        <v>0.97</v>
      </c>
      <c r="J21" s="63">
        <f t="shared" si="0"/>
        <v>81.562984505354549</v>
      </c>
      <c r="K21" s="63">
        <f t="shared" si="1"/>
        <v>33.984576877231063</v>
      </c>
      <c r="L21" s="63">
        <f t="shared" si="3"/>
        <v>81.562984505354549</v>
      </c>
      <c r="M21" s="63">
        <f t="shared" si="2"/>
        <v>716.56298450535451</v>
      </c>
    </row>
    <row r="22" spans="2:13" x14ac:dyDescent="0.2">
      <c r="B22" s="61" t="s">
        <v>175</v>
      </c>
      <c r="C22" s="62">
        <v>1771</v>
      </c>
      <c r="D22" s="63">
        <v>134.95609437595263</v>
      </c>
      <c r="F22" s="64">
        <v>2</v>
      </c>
      <c r="G22" s="62">
        <v>24</v>
      </c>
      <c r="H22" s="73">
        <v>0.97</v>
      </c>
      <c r="J22" s="63">
        <f t="shared" si="0"/>
        <v>333.91198608483131</v>
      </c>
      <c r="K22" s="63">
        <f t="shared" si="1"/>
        <v>139.12999420201302</v>
      </c>
      <c r="L22" s="63">
        <f t="shared" si="3"/>
        <v>333.91198608483131</v>
      </c>
      <c r="M22" s="63">
        <f t="shared" si="2"/>
        <v>2104.9119860848314</v>
      </c>
    </row>
    <row r="23" spans="2:13" x14ac:dyDescent="0.2">
      <c r="B23" s="61" t="s">
        <v>176</v>
      </c>
      <c r="C23" s="62">
        <v>2359</v>
      </c>
      <c r="D23" s="63">
        <v>32.965039570914129</v>
      </c>
      <c r="F23" s="64">
        <v>2</v>
      </c>
      <c r="G23" s="62">
        <v>24</v>
      </c>
      <c r="H23" s="73">
        <v>0.97</v>
      </c>
      <c r="J23" s="63">
        <f t="shared" si="0"/>
        <v>81.562984505354549</v>
      </c>
      <c r="K23" s="63">
        <f t="shared" si="1"/>
        <v>33.984576877231063</v>
      </c>
      <c r="L23" s="63">
        <f t="shared" si="3"/>
        <v>81.562984505354549</v>
      </c>
      <c r="M23" s="63">
        <f t="shared" si="2"/>
        <v>2440.5629845053545</v>
      </c>
    </row>
    <row r="24" spans="2:13" x14ac:dyDescent="0.2">
      <c r="B24" s="61" t="s">
        <v>177</v>
      </c>
      <c r="C24" s="62">
        <v>558</v>
      </c>
      <c r="D24" s="63">
        <v>32.965039570914129</v>
      </c>
      <c r="F24" s="64">
        <v>2</v>
      </c>
      <c r="G24" s="62">
        <v>24</v>
      </c>
      <c r="H24" s="73">
        <v>0.97</v>
      </c>
      <c r="J24" s="63">
        <f t="shared" si="0"/>
        <v>81.562984505354549</v>
      </c>
      <c r="K24" s="63">
        <f t="shared" si="1"/>
        <v>33.984576877231063</v>
      </c>
      <c r="L24" s="63">
        <f t="shared" si="3"/>
        <v>81.562984505354549</v>
      </c>
      <c r="M24" s="63">
        <f t="shared" si="2"/>
        <v>639.56298450535451</v>
      </c>
    </row>
    <row r="25" spans="2:13" x14ac:dyDescent="0.2">
      <c r="B25" s="61" t="s">
        <v>178</v>
      </c>
      <c r="C25" s="62">
        <v>1522</v>
      </c>
      <c r="D25" s="63">
        <v>87.906772189104359</v>
      </c>
      <c r="F25" s="64">
        <v>2</v>
      </c>
      <c r="G25" s="62">
        <v>24</v>
      </c>
      <c r="H25" s="73">
        <v>0.97</v>
      </c>
      <c r="J25" s="63">
        <f t="shared" si="0"/>
        <v>217.50129201427885</v>
      </c>
      <c r="K25" s="63">
        <f t="shared" si="1"/>
        <v>90.625538339282841</v>
      </c>
      <c r="L25" s="63">
        <f t="shared" si="3"/>
        <v>217.50129201427885</v>
      </c>
      <c r="M25" s="63">
        <f t="shared" si="2"/>
        <v>1739.5012920142788</v>
      </c>
    </row>
    <row r="26" spans="2:13" x14ac:dyDescent="0.2">
      <c r="B26" s="61" t="s">
        <v>179</v>
      </c>
      <c r="C26" s="62">
        <v>418</v>
      </c>
      <c r="D26" s="63"/>
      <c r="F26" s="64"/>
      <c r="G26" s="62"/>
      <c r="H26" s="73">
        <v>0.97</v>
      </c>
      <c r="J26" s="63"/>
      <c r="K26" s="63"/>
      <c r="L26" s="6"/>
      <c r="M26" s="63">
        <f t="shared" si="2"/>
        <v>418</v>
      </c>
    </row>
    <row r="27" spans="2:13" x14ac:dyDescent="0.2">
      <c r="B27" s="61" t="s">
        <v>180</v>
      </c>
      <c r="C27" s="62">
        <v>418</v>
      </c>
      <c r="D27" s="63"/>
      <c r="F27" s="64"/>
      <c r="G27" s="62"/>
      <c r="H27" s="73">
        <v>0.97</v>
      </c>
      <c r="J27" s="63"/>
      <c r="K27" s="63"/>
      <c r="L27" s="6"/>
      <c r="M27" s="63">
        <f t="shared" si="2"/>
        <v>418</v>
      </c>
    </row>
    <row r="28" spans="2:13" x14ac:dyDescent="0.2">
      <c r="B28" s="61" t="s">
        <v>181</v>
      </c>
      <c r="C28" s="62">
        <v>418</v>
      </c>
      <c r="D28" s="63">
        <v>5.6690776520727875</v>
      </c>
      <c r="F28" s="64">
        <v>2</v>
      </c>
      <c r="G28" s="62">
        <v>24</v>
      </c>
      <c r="H28" s="73">
        <v>0.97</v>
      </c>
      <c r="J28" s="63">
        <f>D28*G28*0.1/ H28</f>
        <v>14.026583881417206</v>
      </c>
      <c r="K28" s="63">
        <f>0.5*D28*F28/H28</f>
        <v>5.8444099505905029</v>
      </c>
      <c r="L28" s="63">
        <f t="shared" si="3"/>
        <v>14.026583881417206</v>
      </c>
      <c r="M28" s="63">
        <f t="shared" si="2"/>
        <v>432.0265838814172</v>
      </c>
    </row>
    <row r="29" spans="2:13" x14ac:dyDescent="0.2">
      <c r="B29" s="61" t="s">
        <v>182</v>
      </c>
      <c r="C29" s="62">
        <v>418</v>
      </c>
      <c r="D29" s="63">
        <v>51.702464097701693</v>
      </c>
      <c r="F29" s="64">
        <v>2</v>
      </c>
      <c r="G29" s="62">
        <v>24</v>
      </c>
      <c r="H29" s="73">
        <v>0.97</v>
      </c>
      <c r="J29" s="63">
        <f>D29*G29*0.1/ H29</f>
        <v>127.9236225097774</v>
      </c>
      <c r="K29" s="63">
        <f>0.5*D29*F29/H29</f>
        <v>53.301509379073913</v>
      </c>
      <c r="L29" s="63">
        <f t="shared" si="3"/>
        <v>127.9236225097774</v>
      </c>
      <c r="M29" s="63">
        <f t="shared" si="2"/>
        <v>545.92362250977737</v>
      </c>
    </row>
    <row r="30" spans="2:13" x14ac:dyDescent="0.2">
      <c r="B30" s="61" t="s">
        <v>183</v>
      </c>
      <c r="C30" s="62">
        <v>558</v>
      </c>
      <c r="D30" s="63"/>
      <c r="F30" s="64"/>
      <c r="G30" s="62"/>
      <c r="H30" s="73">
        <v>0.97</v>
      </c>
      <c r="J30" s="63"/>
      <c r="K30" s="63"/>
      <c r="L30" s="6"/>
      <c r="M30" s="63">
        <f t="shared" si="2"/>
        <v>558</v>
      </c>
    </row>
    <row r="31" spans="2:13" x14ac:dyDescent="0.2">
      <c r="B31" s="61" t="s">
        <v>184</v>
      </c>
      <c r="C31" s="62">
        <v>558</v>
      </c>
      <c r="D31" s="63">
        <v>26.164973778797481</v>
      </c>
      <c r="F31" s="64">
        <v>2</v>
      </c>
      <c r="G31" s="62">
        <v>24</v>
      </c>
      <c r="H31" s="73">
        <v>0.97</v>
      </c>
      <c r="J31" s="63">
        <f>D31*G31*0.1/ H31</f>
        <v>64.738079452694805</v>
      </c>
      <c r="K31" s="63">
        <f>0.5*D31*F31/H31</f>
        <v>26.974199771956169</v>
      </c>
      <c r="L31" s="63">
        <f t="shared" si="3"/>
        <v>64.738079452694805</v>
      </c>
      <c r="M31" s="63">
        <f t="shared" si="2"/>
        <v>622.73807945269482</v>
      </c>
    </row>
    <row r="32" spans="2:13" x14ac:dyDescent="0.2">
      <c r="B32" s="61" t="s">
        <v>185</v>
      </c>
      <c r="C32" s="62">
        <v>635</v>
      </c>
      <c r="D32" s="63">
        <v>26.164973778797481</v>
      </c>
      <c r="F32" s="64">
        <v>2</v>
      </c>
      <c r="G32" s="62">
        <v>24</v>
      </c>
      <c r="H32" s="73">
        <v>0.97</v>
      </c>
      <c r="J32" s="63">
        <f>D32*G32*0.1/ H32</f>
        <v>64.738079452694805</v>
      </c>
      <c r="K32" s="63">
        <f>0.5*D32*F32/H32</f>
        <v>26.974199771956169</v>
      </c>
      <c r="L32" s="63">
        <f t="shared" si="3"/>
        <v>64.738079452694805</v>
      </c>
      <c r="M32" s="63">
        <f t="shared" si="2"/>
        <v>699.73807945269482</v>
      </c>
    </row>
    <row r="33" spans="2:13" x14ac:dyDescent="0.2">
      <c r="B33" s="61" t="s">
        <v>186</v>
      </c>
      <c r="C33" s="62">
        <v>558</v>
      </c>
      <c r="D33" s="63">
        <v>19.198669203535736</v>
      </c>
      <c r="F33" s="64">
        <v>2</v>
      </c>
      <c r="G33" s="62">
        <v>24</v>
      </c>
      <c r="H33" s="73">
        <v>0.97</v>
      </c>
      <c r="J33" s="63">
        <f>D33*G33*0.1/ H33</f>
        <v>47.501861946892546</v>
      </c>
      <c r="K33" s="63">
        <f>0.5*D33*F33/H33</f>
        <v>19.792442477871894</v>
      </c>
      <c r="L33" s="63">
        <f t="shared" si="3"/>
        <v>47.501861946892546</v>
      </c>
      <c r="M33" s="63">
        <f t="shared" si="2"/>
        <v>605.50186194689252</v>
      </c>
    </row>
    <row r="34" spans="2:13" x14ac:dyDescent="0.2">
      <c r="B34" s="61" t="s">
        <v>187</v>
      </c>
      <c r="C34" s="62">
        <v>635</v>
      </c>
      <c r="D34" s="63">
        <v>5.6690776520727875</v>
      </c>
      <c r="F34" s="64">
        <v>2</v>
      </c>
      <c r="G34" s="62">
        <v>24</v>
      </c>
      <c r="H34" s="73">
        <v>0.97</v>
      </c>
      <c r="J34" s="63">
        <f>D34*G34*0.1/ H34</f>
        <v>14.026583881417206</v>
      </c>
      <c r="K34" s="63">
        <f>0.5*D34*F34/H34</f>
        <v>5.8444099505905029</v>
      </c>
      <c r="L34" s="63">
        <f t="shared" si="3"/>
        <v>14.026583881417206</v>
      </c>
      <c r="M34" s="63">
        <f t="shared" si="2"/>
        <v>649.0265838814172</v>
      </c>
    </row>
    <row r="35" spans="2:13" x14ac:dyDescent="0.2">
      <c r="B35" s="61" t="s">
        <v>188</v>
      </c>
      <c r="C35" s="62">
        <v>635</v>
      </c>
      <c r="D35" s="68"/>
      <c r="F35" s="64"/>
      <c r="G35" s="62"/>
      <c r="H35" s="73">
        <v>0.97</v>
      </c>
      <c r="J35" s="63"/>
      <c r="K35" s="63"/>
      <c r="L35" s="6"/>
      <c r="M35" s="63">
        <f t="shared" si="2"/>
        <v>635</v>
      </c>
    </row>
    <row r="36" spans="2:13" x14ac:dyDescent="0.2">
      <c r="B36" s="61" t="s">
        <v>189</v>
      </c>
      <c r="C36" s="62">
        <v>2116</v>
      </c>
      <c r="D36" s="63">
        <v>19.198669203535736</v>
      </c>
      <c r="F36" s="64">
        <v>2</v>
      </c>
      <c r="G36" s="62">
        <v>24</v>
      </c>
      <c r="H36" s="73">
        <v>0.97</v>
      </c>
      <c r="J36" s="63">
        <f>D36*G36*0.1/ H36</f>
        <v>47.501861946892546</v>
      </c>
      <c r="K36" s="63">
        <f>0.5*D36*F36/H36</f>
        <v>19.792442477871894</v>
      </c>
      <c r="L36" s="63">
        <f t="shared" si="3"/>
        <v>47.501861946892546</v>
      </c>
      <c r="M36" s="63">
        <f t="shared" si="2"/>
        <v>2163.5018619468924</v>
      </c>
    </row>
    <row r="37" spans="2:13" x14ac:dyDescent="0.2">
      <c r="B37" s="61" t="s">
        <v>190</v>
      </c>
      <c r="C37" s="62">
        <v>2116</v>
      </c>
      <c r="D37" s="63">
        <v>51.196451209428638</v>
      </c>
      <c r="F37" s="64">
        <v>2</v>
      </c>
      <c r="G37" s="62">
        <v>24</v>
      </c>
      <c r="H37" s="73">
        <v>0.97</v>
      </c>
      <c r="J37" s="63">
        <f>D37*G37*0.1/ H37</f>
        <v>126.67163185838015</v>
      </c>
      <c r="K37" s="63">
        <f>0.5*D37*F37/H37</f>
        <v>52.779846607658392</v>
      </c>
      <c r="L37" s="63">
        <f t="shared" si="3"/>
        <v>126.67163185838015</v>
      </c>
      <c r="M37" s="63">
        <f t="shared" si="2"/>
        <v>2242.6716318583804</v>
      </c>
    </row>
    <row r="38" spans="2:13" x14ac:dyDescent="0.2">
      <c r="B38" s="61" t="s">
        <v>191</v>
      </c>
      <c r="C38" s="62">
        <v>2359</v>
      </c>
      <c r="D38" s="63">
        <v>38.397338407071473</v>
      </c>
      <c r="F38" s="64">
        <v>2</v>
      </c>
      <c r="G38" s="62">
        <v>24</v>
      </c>
      <c r="H38" s="73">
        <v>0.97</v>
      </c>
      <c r="J38" s="63">
        <f>D38*G38*0.1/ H38</f>
        <v>95.003723893785093</v>
      </c>
      <c r="K38" s="63">
        <f>0.5*D38*F38/H38</f>
        <v>39.584884955743789</v>
      </c>
      <c r="L38" s="63">
        <f t="shared" si="3"/>
        <v>95.003723893785093</v>
      </c>
      <c r="M38" s="63">
        <f t="shared" si="2"/>
        <v>2454.0037238937853</v>
      </c>
    </row>
  </sheetData>
  <mergeCells count="4">
    <mergeCell ref="J5:M5"/>
    <mergeCell ref="B5:D5"/>
    <mergeCell ref="F4:H4"/>
    <mergeCell ref="F5:H5"/>
  </mergeCells>
  <pageMargins left="0.25" right="0.25" top="0.75" bottom="0.75" header="0.3" footer="0.3"/>
  <pageSetup paperSize="17" orientation="landscape"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P69"/>
  <sheetViews>
    <sheetView workbookViewId="0">
      <selection activeCell="A2" sqref="A2"/>
    </sheetView>
  </sheetViews>
  <sheetFormatPr defaultColWidth="11.42578125" defaultRowHeight="15" x14ac:dyDescent="0.25"/>
  <cols>
    <col min="1" max="1" width="26.140625" style="47" customWidth="1"/>
    <col min="2" max="2" width="29.28515625" style="1" customWidth="1"/>
    <col min="4" max="4" width="12" customWidth="1"/>
    <col min="9" max="9" width="14.7109375" customWidth="1"/>
  </cols>
  <sheetData>
    <row r="1" spans="1:16" x14ac:dyDescent="0.2">
      <c r="B1"/>
    </row>
    <row r="2" spans="1:16" x14ac:dyDescent="0.2">
      <c r="B2"/>
    </row>
    <row r="3" spans="1:16" x14ac:dyDescent="0.2">
      <c r="B3"/>
    </row>
    <row r="4" spans="1:16" ht="27.95" customHeight="1" x14ac:dyDescent="0.2">
      <c r="B4" s="3"/>
      <c r="D4" s="84" t="s">
        <v>130</v>
      </c>
      <c r="E4" s="85"/>
      <c r="F4" s="86"/>
    </row>
    <row r="5" spans="1:16" x14ac:dyDescent="0.2">
      <c r="B5" s="4" t="s">
        <v>0</v>
      </c>
      <c r="D5" s="49" t="s">
        <v>129</v>
      </c>
      <c r="E5" s="49" t="s">
        <v>131</v>
      </c>
      <c r="F5" s="49" t="s">
        <v>132</v>
      </c>
    </row>
    <row r="6" spans="1:16" x14ac:dyDescent="0.2">
      <c r="B6" s="51" t="s">
        <v>37</v>
      </c>
      <c r="D6" s="48">
        <v>60.293601582836565</v>
      </c>
      <c r="E6" s="48">
        <v>91.563333333333333</v>
      </c>
      <c r="F6" s="48">
        <v>55.206831395964592</v>
      </c>
    </row>
    <row r="7" spans="1:16" x14ac:dyDescent="0.2">
      <c r="B7" s="9" t="s">
        <v>63</v>
      </c>
      <c r="D7" s="48">
        <v>63.599799695830065</v>
      </c>
      <c r="E7" s="48">
        <v>87.077950310559004</v>
      </c>
      <c r="F7" s="48">
        <v>55.381401976749956</v>
      </c>
    </row>
    <row r="8" spans="1:16" x14ac:dyDescent="0.2">
      <c r="B8" s="9" t="s">
        <v>64</v>
      </c>
      <c r="D8" s="48">
        <v>60.293601582836565</v>
      </c>
      <c r="E8" s="48">
        <v>84.048333333333332</v>
      </c>
      <c r="F8" s="48">
        <v>50.675767237014412</v>
      </c>
    </row>
    <row r="9" spans="1:16" x14ac:dyDescent="0.2">
      <c r="B9" s="9" t="s">
        <v>19</v>
      </c>
      <c r="D9" s="48">
        <v>49.059300791418281</v>
      </c>
      <c r="E9" s="48">
        <v>97.198333333333338</v>
      </c>
      <c r="F9" s="48">
        <v>47.684822714245385</v>
      </c>
    </row>
    <row r="10" spans="1:16" x14ac:dyDescent="0.2">
      <c r="B10" s="9" t="s">
        <v>35</v>
      </c>
      <c r="D10" s="48">
        <v>45.329881266269254</v>
      </c>
      <c r="E10" s="48">
        <v>101.22833333333334</v>
      </c>
      <c r="F10" s="48">
        <v>45.886683307823262</v>
      </c>
    </row>
    <row r="11" spans="1:16" x14ac:dyDescent="0.2">
      <c r="B11" s="9" t="s">
        <v>16</v>
      </c>
      <c r="D11" s="48">
        <v>35.128828745696119</v>
      </c>
      <c r="E11" s="48">
        <v>119.52576923076921</v>
      </c>
      <c r="F11" s="48">
        <v>41.988002780052867</v>
      </c>
    </row>
    <row r="12" spans="1:16" x14ac:dyDescent="0.2">
      <c r="B12" s="9" t="s">
        <v>137</v>
      </c>
      <c r="D12" s="48">
        <v>50.742862379351912</v>
      </c>
      <c r="E12" s="48">
        <v>78.968857142857146</v>
      </c>
      <c r="F12" s="48">
        <v>40.071058502547018</v>
      </c>
    </row>
    <row r="13" spans="1:16" x14ac:dyDescent="0.2">
      <c r="B13" s="9" t="s">
        <v>25</v>
      </c>
      <c r="D13" s="48">
        <v>46.218438327594818</v>
      </c>
      <c r="E13" s="48">
        <v>85.924999999999997</v>
      </c>
      <c r="F13" s="48">
        <v>39.71319313298585</v>
      </c>
    </row>
    <row r="14" spans="1:16" x14ac:dyDescent="0.2">
      <c r="B14" s="9" t="s">
        <v>29</v>
      </c>
      <c r="D14" s="48">
        <v>64.444473132511433</v>
      </c>
      <c r="E14" s="48">
        <v>60.459166666666675</v>
      </c>
      <c r="F14" s="48">
        <v>38.962591418640315</v>
      </c>
    </row>
    <row r="15" spans="1:16" x14ac:dyDescent="0.2">
      <c r="B15" s="9" t="s">
        <v>138</v>
      </c>
      <c r="D15" s="48">
        <v>50.742862379351912</v>
      </c>
      <c r="E15" s="48">
        <v>74.968857142857146</v>
      </c>
      <c r="F15" s="48">
        <v>38.041344007372935</v>
      </c>
    </row>
    <row r="16" spans="1:16" s="34" customFormat="1" x14ac:dyDescent="0.2">
      <c r="A16" s="47"/>
      <c r="B16" s="9" t="s">
        <v>44</v>
      </c>
      <c r="C16"/>
      <c r="D16" s="48">
        <v>38.67042956917242</v>
      </c>
      <c r="E16" s="48">
        <v>95.593630136986306</v>
      </c>
      <c r="F16" s="48">
        <v>36.966467414738474</v>
      </c>
      <c r="G16"/>
      <c r="H16"/>
      <c r="I16"/>
      <c r="J16"/>
      <c r="K16"/>
      <c r="L16"/>
      <c r="M16"/>
      <c r="N16"/>
      <c r="O16"/>
      <c r="P16"/>
    </row>
    <row r="17" spans="1:16" x14ac:dyDescent="0.2">
      <c r="B17" s="9" t="s">
        <v>139</v>
      </c>
      <c r="D17" s="48">
        <v>48.205719260384321</v>
      </c>
      <c r="E17" s="48">
        <v>70.968857142857146</v>
      </c>
      <c r="F17" s="48">
        <v>34.21104803658892</v>
      </c>
    </row>
    <row r="18" spans="1:16" s="43" customFormat="1" x14ac:dyDescent="0.2">
      <c r="A18" s="47"/>
      <c r="B18" s="9" t="s">
        <v>28</v>
      </c>
      <c r="C18"/>
      <c r="D18" s="48">
        <v>43.916022427365874</v>
      </c>
      <c r="E18" s="48">
        <v>77.588333333333338</v>
      </c>
      <c r="F18" s="48">
        <v>34.073709867686063</v>
      </c>
      <c r="G18"/>
      <c r="H18"/>
      <c r="I18"/>
      <c r="J18"/>
      <c r="K18"/>
      <c r="L18"/>
      <c r="M18"/>
      <c r="N18"/>
      <c r="O18"/>
      <c r="P18"/>
    </row>
    <row r="19" spans="1:16" x14ac:dyDescent="0.2">
      <c r="B19" s="9" t="s">
        <v>136</v>
      </c>
      <c r="D19" s="48">
        <v>43.13143302244913</v>
      </c>
      <c r="E19" s="48">
        <v>70.968857142857146</v>
      </c>
      <c r="F19" s="48">
        <v>30.609885085369037</v>
      </c>
    </row>
    <row r="20" spans="1:16" x14ac:dyDescent="0.2">
      <c r="B20" s="9" t="s">
        <v>26</v>
      </c>
      <c r="D20" s="48">
        <v>32.485886612255179</v>
      </c>
      <c r="E20" s="48">
        <v>86.768630136986303</v>
      </c>
      <c r="F20" s="48">
        <v>28.187558801308445</v>
      </c>
    </row>
    <row r="21" spans="1:16" x14ac:dyDescent="0.2">
      <c r="B21" s="9" t="s">
        <v>42</v>
      </c>
      <c r="D21" s="48">
        <v>16.821634718189845</v>
      </c>
      <c r="E21" s="48">
        <v>144.97214285714284</v>
      </c>
      <c r="F21" s="48">
        <v>24.38668431456092</v>
      </c>
    </row>
    <row r="22" spans="1:16" x14ac:dyDescent="0.2">
      <c r="B22" s="9" t="s">
        <v>135</v>
      </c>
      <c r="D22" s="48">
        <v>38.057146784513932</v>
      </c>
      <c r="E22" s="48">
        <v>62.968857142857146</v>
      </c>
      <c r="F22" s="48">
        <v>23.964150391388031</v>
      </c>
    </row>
    <row r="23" spans="1:16" s="34" customFormat="1" x14ac:dyDescent="0.2">
      <c r="A23" s="47"/>
      <c r="B23" s="7" t="s">
        <v>1</v>
      </c>
      <c r="C23"/>
      <c r="D23" s="48">
        <v>16.335768060884856</v>
      </c>
      <c r="E23" s="48">
        <v>141.04524096385541</v>
      </c>
      <c r="F23" s="48">
        <v>23.040823424771574</v>
      </c>
      <c r="G23"/>
      <c r="H23"/>
      <c r="I23"/>
      <c r="J23"/>
      <c r="K23"/>
      <c r="L23"/>
      <c r="M23"/>
      <c r="N23"/>
      <c r="O23"/>
      <c r="P23"/>
    </row>
    <row r="24" spans="1:16" x14ac:dyDescent="0.2">
      <c r="B24" s="9" t="s">
        <v>60</v>
      </c>
      <c r="D24" s="48">
        <v>16.10538403044243</v>
      </c>
      <c r="E24" s="48">
        <v>132.69</v>
      </c>
      <c r="F24" s="48">
        <v>21.370234069994059</v>
      </c>
    </row>
    <row r="25" spans="1:16" x14ac:dyDescent="0.2">
      <c r="B25" s="9" t="s">
        <v>48</v>
      </c>
      <c r="D25" s="48">
        <v>8.520384030442429</v>
      </c>
      <c r="E25" s="48">
        <v>214.24714285714288</v>
      </c>
      <c r="F25" s="48">
        <v>18.254679345679179</v>
      </c>
    </row>
    <row r="26" spans="1:16" x14ac:dyDescent="0.2">
      <c r="B26" s="9" t="s">
        <v>54</v>
      </c>
      <c r="D26" s="48">
        <v>12.884307224353943</v>
      </c>
      <c r="E26" s="48">
        <v>127.63520325203251</v>
      </c>
      <c r="F26" s="48">
        <v>16.444911713420463</v>
      </c>
    </row>
    <row r="27" spans="1:16" x14ac:dyDescent="0.2">
      <c r="B27" s="9" t="s">
        <v>52</v>
      </c>
      <c r="D27" s="48">
        <v>16.821634718189845</v>
      </c>
      <c r="E27" s="48">
        <v>96.877142857142857</v>
      </c>
      <c r="F27" s="48">
        <v>16.296319096847515</v>
      </c>
    </row>
    <row r="28" spans="1:16" s="34" customFormat="1" x14ac:dyDescent="0.2">
      <c r="A28" s="47"/>
      <c r="B28" s="9" t="s">
        <v>56</v>
      </c>
      <c r="C28"/>
      <c r="D28" s="48">
        <v>14.564357414513143</v>
      </c>
      <c r="E28" s="48">
        <v>111.33659574468085</v>
      </c>
      <c r="F28" s="48">
        <v>16.215459737406949</v>
      </c>
      <c r="G28"/>
      <c r="H28"/>
      <c r="I28"/>
      <c r="J28"/>
      <c r="K28"/>
      <c r="L28"/>
      <c r="M28"/>
      <c r="N28"/>
      <c r="O28"/>
      <c r="P28"/>
    </row>
    <row r="29" spans="1:16" s="43" customFormat="1" x14ac:dyDescent="0.2">
      <c r="A29" s="47"/>
      <c r="B29" s="9" t="s">
        <v>31</v>
      </c>
      <c r="C29"/>
      <c r="D29" s="48">
        <v>193.6</v>
      </c>
      <c r="E29" s="48">
        <v>6.7708000000000013</v>
      </c>
      <c r="F29" s="48">
        <v>13.108268800000003</v>
      </c>
      <c r="G29"/>
      <c r="H29"/>
      <c r="I29"/>
      <c r="J29"/>
      <c r="K29"/>
      <c r="L29"/>
      <c r="M29"/>
      <c r="N29"/>
      <c r="O29"/>
      <c r="P29"/>
    </row>
    <row r="30" spans="1:16" x14ac:dyDescent="0.2">
      <c r="B30" s="9" t="s">
        <v>47</v>
      </c>
      <c r="D30" s="48">
        <v>10.76397968534557</v>
      </c>
      <c r="E30" s="48">
        <v>101.29714285714284</v>
      </c>
      <c r="F30" s="48">
        <v>10.903603878978336</v>
      </c>
    </row>
    <row r="31" spans="1:16" x14ac:dyDescent="0.2">
      <c r="B31" s="9" t="s">
        <v>34</v>
      </c>
      <c r="D31" s="48">
        <v>9.7623482849105816</v>
      </c>
      <c r="E31" s="48">
        <v>95.193333333333328</v>
      </c>
      <c r="F31" s="48">
        <v>9.2931047440158796</v>
      </c>
    </row>
    <row r="32" spans="1:16" x14ac:dyDescent="0.2">
      <c r="B32" s="9" t="s">
        <v>58</v>
      </c>
      <c r="D32" s="48">
        <v>9.8014608365309144</v>
      </c>
      <c r="E32" s="48">
        <v>88.786595744680852</v>
      </c>
      <c r="F32" s="48">
        <v>8.7023834100039181</v>
      </c>
      <c r="I32" s="58"/>
      <c r="J32" s="58" t="s">
        <v>154</v>
      </c>
      <c r="K32" s="58" t="s">
        <v>157</v>
      </c>
      <c r="L32" s="58" t="s">
        <v>158</v>
      </c>
    </row>
    <row r="33" spans="1:16" s="43" customFormat="1" x14ac:dyDescent="0.2">
      <c r="A33" s="47"/>
      <c r="B33" s="9" t="s">
        <v>11</v>
      </c>
      <c r="C33"/>
      <c r="D33" s="48">
        <v>57.564515483006907</v>
      </c>
      <c r="E33" s="48">
        <v>12.45936301369863</v>
      </c>
      <c r="F33" s="48">
        <v>7.1721719511045841</v>
      </c>
      <c r="G33"/>
      <c r="H33"/>
      <c r="I33" s="59" t="s">
        <v>155</v>
      </c>
      <c r="J33" s="57">
        <f>'Risk Sorted'!$E$6</f>
        <v>152.26124032730883</v>
      </c>
      <c r="K33" s="57">
        <f>AVERAGEA('Risk Sorted'!$E$6:$E$54)</f>
        <v>25.244967064381367</v>
      </c>
      <c r="L33" s="57">
        <f>MEDIAN('Risk Sorted'!$E$6:$E$54)</f>
        <v>16.215459737406949</v>
      </c>
      <c r="M33"/>
      <c r="N33"/>
      <c r="O33"/>
      <c r="P33"/>
    </row>
    <row r="34" spans="1:16" x14ac:dyDescent="0.2">
      <c r="B34" s="9" t="s">
        <v>14</v>
      </c>
      <c r="D34" s="48">
        <v>45.102239425563226</v>
      </c>
      <c r="E34" s="48">
        <v>7.1628630136986304</v>
      </c>
      <c r="F34" s="48">
        <v>3.2306116261634701</v>
      </c>
      <c r="I34" s="59" t="s">
        <v>156</v>
      </c>
      <c r="J34" s="57">
        <f>F7</f>
        <v>55.381401976749956</v>
      </c>
      <c r="K34" s="57">
        <f>AVERAGEA(F6:F54)</f>
        <v>16.998061084837055</v>
      </c>
      <c r="L34" s="57">
        <f>MEDIAN(F6:F54)</f>
        <v>10.903603878978336</v>
      </c>
    </row>
    <row r="35" spans="1:16" x14ac:dyDescent="0.2">
      <c r="B35" s="9" t="s">
        <v>82</v>
      </c>
      <c r="D35" s="48">
        <v>0.114</v>
      </c>
      <c r="E35" s="48">
        <v>499.19160278745642</v>
      </c>
      <c r="F35" s="48">
        <v>0.5690784271777003</v>
      </c>
    </row>
    <row r="36" spans="1:16" s="43" customFormat="1" x14ac:dyDescent="0.2">
      <c r="A36" s="47"/>
      <c r="B36" s="9" t="s">
        <v>21</v>
      </c>
      <c r="C36"/>
      <c r="D36" s="48">
        <v>5.7513471036054877</v>
      </c>
      <c r="E36" s="48">
        <v>6.2426795252225524</v>
      </c>
      <c r="F36" s="48">
        <v>0.3590381680612601</v>
      </c>
      <c r="G36"/>
      <c r="H36"/>
      <c r="I36"/>
      <c r="J36"/>
      <c r="K36"/>
      <c r="L36"/>
      <c r="M36"/>
      <c r="N36"/>
      <c r="O36"/>
      <c r="P36"/>
    </row>
    <row r="37" spans="1:16" x14ac:dyDescent="0.2">
      <c r="B37" s="9" t="s">
        <v>80</v>
      </c>
      <c r="D37" s="48">
        <v>0.16125</v>
      </c>
      <c r="E37" s="48">
        <v>122.00714285714285</v>
      </c>
      <c r="F37" s="48">
        <v>0.19673651785714286</v>
      </c>
    </row>
    <row r="38" spans="1:16" x14ac:dyDescent="0.2">
      <c r="B38" s="9" t="s">
        <v>77</v>
      </c>
      <c r="D38" s="48">
        <v>0.18812499999999999</v>
      </c>
      <c r="E38" s="48">
        <v>96.865014245014251</v>
      </c>
      <c r="F38" s="48">
        <v>0.18222730804843304</v>
      </c>
    </row>
    <row r="39" spans="1:16" x14ac:dyDescent="0.2">
      <c r="B39" s="9" t="s">
        <v>68</v>
      </c>
      <c r="D39" s="48">
        <v>0.18812499999999999</v>
      </c>
      <c r="E39" s="48">
        <v>90.690611510791371</v>
      </c>
      <c r="F39" s="48">
        <v>0.17061171290467628</v>
      </c>
    </row>
    <row r="40" spans="1:16" x14ac:dyDescent="0.2">
      <c r="B40" s="9" t="s">
        <v>66</v>
      </c>
      <c r="D40" s="48">
        <v>0.16125</v>
      </c>
      <c r="E40" s="48">
        <v>101.66792452830188</v>
      </c>
      <c r="F40" s="48">
        <v>0.16393952830188677</v>
      </c>
    </row>
    <row r="41" spans="1:16" s="43" customFormat="1" x14ac:dyDescent="0.2">
      <c r="A41" s="47"/>
      <c r="B41" s="9" t="s">
        <v>83</v>
      </c>
      <c r="C41"/>
      <c r="D41" s="48">
        <v>0.152</v>
      </c>
      <c r="E41" s="48">
        <v>98.801379310344828</v>
      </c>
      <c r="F41" s="48">
        <v>0.15017809655172415</v>
      </c>
      <c r="G41"/>
      <c r="H41"/>
      <c r="I41"/>
      <c r="J41"/>
      <c r="K41"/>
      <c r="L41"/>
      <c r="M41"/>
      <c r="N41"/>
      <c r="O41"/>
      <c r="P41"/>
    </row>
    <row r="42" spans="1:16" x14ac:dyDescent="0.2">
      <c r="B42" s="9" t="s">
        <v>78</v>
      </c>
      <c r="D42" s="48">
        <v>0.1509375</v>
      </c>
      <c r="E42" s="48">
        <v>96.713403361344533</v>
      </c>
      <c r="F42" s="48">
        <v>0.14597679319852941</v>
      </c>
    </row>
    <row r="43" spans="1:16" x14ac:dyDescent="0.2">
      <c r="B43" s="9" t="s">
        <v>37</v>
      </c>
      <c r="D43" s="48">
        <v>0.16125</v>
      </c>
      <c r="E43" s="48">
        <v>88.450252918287944</v>
      </c>
      <c r="F43" s="48">
        <v>0.1426260328307393</v>
      </c>
    </row>
    <row r="44" spans="1:16" x14ac:dyDescent="0.2">
      <c r="B44" s="9" t="s">
        <v>79</v>
      </c>
      <c r="D44" s="48">
        <v>0.16125</v>
      </c>
      <c r="E44" s="48">
        <v>84.461724137931029</v>
      </c>
      <c r="F44" s="48">
        <v>0.13619453017241379</v>
      </c>
    </row>
    <row r="45" spans="1:16" x14ac:dyDescent="0.25">
      <c r="B45" s="9" t="s">
        <v>70</v>
      </c>
      <c r="D45" s="48">
        <v>0.12937499999999999</v>
      </c>
      <c r="E45" s="48">
        <v>99.480769230769226</v>
      </c>
      <c r="F45" s="48">
        <v>0.12870324519230766</v>
      </c>
    </row>
    <row r="46" spans="1:16" s="34" customFormat="1" x14ac:dyDescent="0.25">
      <c r="A46" s="47"/>
      <c r="B46" s="9" t="s">
        <v>73</v>
      </c>
      <c r="C46"/>
      <c r="D46" s="48">
        <v>0.12937499999999999</v>
      </c>
      <c r="E46" s="48">
        <v>91.200611510791362</v>
      </c>
      <c r="F46" s="48">
        <v>0.11799079114208631</v>
      </c>
      <c r="G46"/>
      <c r="H46"/>
      <c r="I46"/>
      <c r="J46"/>
      <c r="K46"/>
      <c r="L46"/>
      <c r="M46"/>
      <c r="N46"/>
      <c r="O46"/>
      <c r="P46"/>
    </row>
    <row r="47" spans="1:16" x14ac:dyDescent="0.25">
      <c r="B47" s="9" t="s">
        <v>72</v>
      </c>
      <c r="D47" s="48">
        <v>0.16125</v>
      </c>
      <c r="E47" s="48">
        <v>65.090578512396689</v>
      </c>
      <c r="F47" s="48">
        <v>0.10495855785123967</v>
      </c>
    </row>
    <row r="48" spans="1:16" x14ac:dyDescent="0.25">
      <c r="B48" s="9" t="s">
        <v>81</v>
      </c>
      <c r="D48" s="48">
        <v>0.114</v>
      </c>
      <c r="E48" s="48">
        <v>91.168859649122822</v>
      </c>
      <c r="F48" s="48">
        <v>0.10393250000000002</v>
      </c>
    </row>
    <row r="49" spans="2:6" x14ac:dyDescent="0.25">
      <c r="B49" s="9" t="s">
        <v>85</v>
      </c>
      <c r="D49" s="48">
        <v>0.114</v>
      </c>
      <c r="E49" s="48">
        <v>83.042098765432115</v>
      </c>
      <c r="F49" s="48">
        <v>9.4667992592592606E-2</v>
      </c>
    </row>
    <row r="50" spans="2:6" x14ac:dyDescent="0.25">
      <c r="B50" s="9" t="s">
        <v>71</v>
      </c>
      <c r="D50" s="48">
        <v>0.12937499999999999</v>
      </c>
      <c r="E50" s="48">
        <v>46.121929824561406</v>
      </c>
      <c r="F50" s="48">
        <v>5.9670246710526315E-2</v>
      </c>
    </row>
    <row r="51" spans="2:6" x14ac:dyDescent="0.25">
      <c r="B51" s="9" t="s">
        <v>76</v>
      </c>
      <c r="D51" s="48">
        <v>0.54</v>
      </c>
      <c r="E51" s="48">
        <v>5.022333333333334</v>
      </c>
      <c r="F51" s="48">
        <v>2.7120600000000005E-2</v>
      </c>
    </row>
    <row r="52" spans="2:6" x14ac:dyDescent="0.25">
      <c r="B52" s="9" t="s">
        <v>74</v>
      </c>
      <c r="D52" s="48">
        <v>0.16500000000000001</v>
      </c>
      <c r="E52" s="48">
        <v>4.5878333333333341</v>
      </c>
      <c r="F52" s="48">
        <v>7.5699250000000017E-3</v>
      </c>
    </row>
    <row r="53" spans="2:6" x14ac:dyDescent="0.25">
      <c r="B53" s="9" t="s">
        <v>45</v>
      </c>
      <c r="D53" s="48">
        <v>0</v>
      </c>
      <c r="E53" s="48">
        <v>508.26295031055901</v>
      </c>
      <c r="F53" s="48">
        <v>0</v>
      </c>
    </row>
    <row r="54" spans="2:6" x14ac:dyDescent="0.25">
      <c r="B54" s="9" t="s">
        <v>62</v>
      </c>
      <c r="D54" s="48">
        <v>0</v>
      </c>
      <c r="E54" s="48">
        <v>147.51363013698631</v>
      </c>
      <c r="F54" s="48">
        <v>0</v>
      </c>
    </row>
    <row r="55" spans="2:6" x14ac:dyDescent="0.25">
      <c r="B55" s="29" t="s">
        <v>20</v>
      </c>
      <c r="D55" s="48"/>
      <c r="E55" s="48"/>
      <c r="F55" s="34"/>
    </row>
    <row r="56" spans="2:6" x14ac:dyDescent="0.25">
      <c r="B56" s="38" t="s">
        <v>22</v>
      </c>
      <c r="D56" s="48">
        <v>0</v>
      </c>
      <c r="E56" s="48"/>
      <c r="F56" s="43"/>
    </row>
    <row r="57" spans="2:6" x14ac:dyDescent="0.25">
      <c r="B57" s="29" t="s">
        <v>30</v>
      </c>
      <c r="D57" s="48"/>
      <c r="E57" s="48"/>
      <c r="F57" s="34"/>
    </row>
    <row r="58" spans="2:6" x14ac:dyDescent="0.25">
      <c r="B58" s="29" t="s">
        <v>38</v>
      </c>
      <c r="D58" s="48"/>
      <c r="E58" s="48"/>
      <c r="F58" s="34"/>
    </row>
    <row r="59" spans="2:6" x14ac:dyDescent="0.25">
      <c r="B59" s="38" t="s">
        <v>40</v>
      </c>
      <c r="D59" s="48">
        <v>0</v>
      </c>
      <c r="E59" s="48"/>
      <c r="F59" s="43"/>
    </row>
    <row r="60" spans="2:6" x14ac:dyDescent="0.25">
      <c r="B60" s="38" t="s">
        <v>46</v>
      </c>
      <c r="D60" s="48">
        <v>0</v>
      </c>
      <c r="E60" s="48"/>
      <c r="F60" s="43"/>
    </row>
    <row r="61" spans="2:6" x14ac:dyDescent="0.25">
      <c r="B61" s="38" t="s">
        <v>50</v>
      </c>
      <c r="D61" s="48"/>
      <c r="E61" s="48"/>
      <c r="F61" s="43"/>
    </row>
    <row r="62" spans="2:6" x14ac:dyDescent="0.25">
      <c r="B62" s="38" t="s">
        <v>59</v>
      </c>
      <c r="D62" s="48"/>
      <c r="E62" s="48"/>
      <c r="F62" s="43"/>
    </row>
    <row r="63" spans="2:6" x14ac:dyDescent="0.25">
      <c r="B63" s="29" t="s">
        <v>65</v>
      </c>
      <c r="D63" s="48"/>
      <c r="E63" s="48"/>
      <c r="F63" s="34"/>
    </row>
    <row r="64" spans="2:6" x14ac:dyDescent="0.25">
      <c r="B64" s="9"/>
      <c r="D64" s="48"/>
      <c r="E64" s="48"/>
      <c r="F64" s="48"/>
    </row>
    <row r="65" spans="2:6" x14ac:dyDescent="0.25">
      <c r="B65" s="9"/>
      <c r="D65" s="48"/>
      <c r="E65" s="48"/>
      <c r="F65" s="48"/>
    </row>
    <row r="66" spans="2:6" x14ac:dyDescent="0.25">
      <c r="B66" s="9"/>
      <c r="D66" s="48"/>
      <c r="E66" s="48"/>
      <c r="F66" s="48"/>
    </row>
    <row r="67" spans="2:6" x14ac:dyDescent="0.25">
      <c r="B67" s="16"/>
    </row>
    <row r="69" spans="2:6" x14ac:dyDescent="0.25">
      <c r="B69" s="10"/>
    </row>
  </sheetData>
  <sortState ref="B6:F66">
    <sortCondition descending="1" ref="F6:F66"/>
  </sortState>
  <mergeCells count="1">
    <mergeCell ref="D4:F4"/>
  </mergeCells>
  <conditionalFormatting sqref="F6:F54">
    <cfRule type="colorScale" priority="1">
      <colorScale>
        <cfvo type="percentile" val="20"/>
        <cfvo type="percentile" val="50"/>
        <cfvo type="percentile" val="85"/>
        <color rgb="FF008000"/>
        <color rgb="FFFFEB84"/>
        <color rgb="FFFF6600"/>
      </colorScale>
    </cfRule>
  </conditionalFormatting>
  <pageMargins left="0.75" right="0.75" top="1" bottom="1" header="0.5" footer="0.5"/>
  <pageSetup orientation="portrait" horizontalDpi="4294967292" verticalDpi="429496729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1:AC52"/>
  <sheetViews>
    <sheetView topLeftCell="B5" workbookViewId="0">
      <selection activeCell="B5" sqref="B5"/>
    </sheetView>
  </sheetViews>
  <sheetFormatPr defaultColWidth="11.42578125" defaultRowHeight="15" x14ac:dyDescent="0.25"/>
  <cols>
    <col min="1" max="1" width="26.140625" customWidth="1"/>
    <col min="2" max="2" width="29.28515625" style="1" customWidth="1"/>
    <col min="3" max="3" width="15.28515625" bestFit="1" customWidth="1"/>
    <col min="4" max="8" width="9.85546875" customWidth="1"/>
    <col min="9" max="9" width="13.42578125" bestFit="1" customWidth="1"/>
    <col min="10" max="15" width="9.85546875" customWidth="1"/>
    <col min="28" max="28" width="12.28515625" customWidth="1"/>
  </cols>
  <sheetData>
    <row r="1" spans="2:24" x14ac:dyDescent="0.2">
      <c r="B1"/>
    </row>
    <row r="2" spans="2:24" x14ac:dyDescent="0.2">
      <c r="B2"/>
    </row>
    <row r="3" spans="2:24" ht="14.1" customHeight="1" x14ac:dyDescent="0.2">
      <c r="B3"/>
      <c r="Q3" s="109" t="s">
        <v>201</v>
      </c>
      <c r="R3" s="110"/>
      <c r="S3" s="110"/>
      <c r="T3" s="110"/>
      <c r="U3" s="110"/>
      <c r="V3" s="110"/>
      <c r="W3" s="111"/>
    </row>
    <row r="4" spans="2:24" ht="45" x14ac:dyDescent="0.2">
      <c r="B4"/>
      <c r="Q4" s="65" t="s">
        <v>209</v>
      </c>
      <c r="S4" s="65" t="s">
        <v>107</v>
      </c>
      <c r="U4" s="65" t="s">
        <v>255</v>
      </c>
      <c r="W4" s="65" t="s">
        <v>256</v>
      </c>
    </row>
    <row r="5" spans="2:24" x14ac:dyDescent="0.2">
      <c r="B5"/>
    </row>
    <row r="6" spans="2:24" x14ac:dyDescent="0.2">
      <c r="B6"/>
      <c r="Q6">
        <v>20</v>
      </c>
      <c r="R6" t="s">
        <v>210</v>
      </c>
      <c r="S6">
        <v>0</v>
      </c>
      <c r="T6" t="s">
        <v>211</v>
      </c>
      <c r="U6">
        <v>20</v>
      </c>
      <c r="V6" t="s">
        <v>210</v>
      </c>
      <c r="W6">
        <v>10</v>
      </c>
      <c r="X6" t="s">
        <v>210</v>
      </c>
    </row>
    <row r="7" spans="2:24" x14ac:dyDescent="0.2">
      <c r="B7"/>
      <c r="S7">
        <v>10</v>
      </c>
      <c r="T7" t="s">
        <v>212</v>
      </c>
    </row>
    <row r="8" spans="2:24" x14ac:dyDescent="0.2">
      <c r="B8"/>
    </row>
    <row r="9" spans="2:24" x14ac:dyDescent="0.2">
      <c r="B9"/>
    </row>
    <row r="10" spans="2:24" x14ac:dyDescent="0.2">
      <c r="B10"/>
    </row>
    <row r="11" spans="2:24" ht="27.95" customHeight="1" x14ac:dyDescent="0.2">
      <c r="B11" s="3"/>
      <c r="C11" s="94" t="s">
        <v>197</v>
      </c>
      <c r="D11" s="94"/>
      <c r="E11" s="94"/>
      <c r="F11" s="94"/>
      <c r="G11" s="94"/>
      <c r="H11" s="94"/>
      <c r="I11" s="94"/>
      <c r="J11" s="94"/>
      <c r="K11" s="94"/>
      <c r="L11" s="94"/>
      <c r="M11" s="94"/>
      <c r="N11" s="94"/>
      <c r="O11" s="94"/>
      <c r="Q11" s="91" t="s">
        <v>213</v>
      </c>
      <c r="R11" s="92"/>
      <c r="S11" s="92"/>
      <c r="T11" s="92"/>
      <c r="U11" s="93"/>
      <c r="X11" s="49" t="s">
        <v>216</v>
      </c>
    </row>
    <row r="12" spans="2:24" ht="45" x14ac:dyDescent="0.2">
      <c r="B12" s="4"/>
      <c r="C12" s="72" t="s">
        <v>257</v>
      </c>
      <c r="D12" s="72" t="s">
        <v>258</v>
      </c>
      <c r="E12" s="72" t="s">
        <v>259</v>
      </c>
      <c r="F12" s="72" t="s">
        <v>260</v>
      </c>
      <c r="G12" s="72" t="s">
        <v>261</v>
      </c>
      <c r="H12" s="72" t="s">
        <v>262</v>
      </c>
      <c r="I12" s="72" t="s">
        <v>107</v>
      </c>
      <c r="J12" s="72" t="s">
        <v>263</v>
      </c>
      <c r="K12" s="72" t="s">
        <v>255</v>
      </c>
      <c r="L12" s="72" t="s">
        <v>205</v>
      </c>
      <c r="M12" s="72" t="s">
        <v>206</v>
      </c>
      <c r="N12" s="72" t="s">
        <v>207</v>
      </c>
      <c r="O12" s="72" t="s">
        <v>208</v>
      </c>
      <c r="Q12" s="22" t="s">
        <v>214</v>
      </c>
      <c r="R12" s="22" t="s">
        <v>107</v>
      </c>
      <c r="S12" s="22" t="s">
        <v>263</v>
      </c>
      <c r="T12" s="22" t="s">
        <v>255</v>
      </c>
      <c r="U12" s="22" t="s">
        <v>200</v>
      </c>
      <c r="X12" s="49" t="s">
        <v>265</v>
      </c>
    </row>
    <row r="13" spans="2:24" x14ac:dyDescent="0.2">
      <c r="B13" s="61" t="s">
        <v>160</v>
      </c>
      <c r="C13" s="8" t="s">
        <v>5</v>
      </c>
      <c r="D13" s="8"/>
      <c r="E13" s="8"/>
      <c r="F13" s="8"/>
      <c r="G13" s="8"/>
      <c r="H13" s="8"/>
      <c r="I13" s="8" t="s">
        <v>2</v>
      </c>
      <c r="J13" s="8"/>
      <c r="K13" s="75"/>
      <c r="L13" s="62">
        <v>635</v>
      </c>
      <c r="M13" s="64">
        <v>2</v>
      </c>
      <c r="N13" s="62">
        <v>24</v>
      </c>
      <c r="O13" s="63">
        <v>38.397338407071473</v>
      </c>
      <c r="Q13" s="6">
        <v>20</v>
      </c>
      <c r="R13" s="6"/>
      <c r="S13" s="6"/>
      <c r="T13" s="6"/>
      <c r="U13" s="6">
        <v>20</v>
      </c>
      <c r="X13" s="66">
        <f>'Loss Size'!M7*U13/100</f>
        <v>146.000744778757</v>
      </c>
    </row>
    <row r="14" spans="2:24" x14ac:dyDescent="0.2">
      <c r="B14" s="61" t="s">
        <v>161</v>
      </c>
      <c r="C14" s="6" t="s">
        <v>5</v>
      </c>
      <c r="D14" s="6"/>
      <c r="E14" s="6"/>
      <c r="F14" s="6"/>
      <c r="G14" s="6"/>
      <c r="H14" s="6"/>
      <c r="I14" s="62" t="s">
        <v>8</v>
      </c>
      <c r="J14" s="6"/>
      <c r="K14" s="75"/>
      <c r="L14" s="62">
        <v>1658</v>
      </c>
      <c r="M14" s="64">
        <v>0.25</v>
      </c>
      <c r="N14" s="62">
        <v>168</v>
      </c>
      <c r="O14" s="63">
        <v>52.329947557594963</v>
      </c>
      <c r="Q14" s="6">
        <v>20</v>
      </c>
      <c r="R14" s="6">
        <v>10</v>
      </c>
      <c r="S14" s="6"/>
      <c r="T14" s="6"/>
      <c r="U14" s="6">
        <v>30</v>
      </c>
      <c r="X14" s="66">
        <f>'Loss Size'!M8*U14/100</f>
        <v>769.2999337013182</v>
      </c>
    </row>
    <row r="15" spans="2:24" x14ac:dyDescent="0.2">
      <c r="B15" s="61" t="s">
        <v>162</v>
      </c>
      <c r="C15" s="6" t="s">
        <v>5</v>
      </c>
      <c r="D15" s="6"/>
      <c r="E15" s="6"/>
      <c r="F15" s="6"/>
      <c r="G15" s="6"/>
      <c r="H15" s="6"/>
      <c r="I15" s="62" t="s">
        <v>8</v>
      </c>
      <c r="J15" s="6"/>
      <c r="K15" s="75"/>
      <c r="L15" s="62">
        <v>1658</v>
      </c>
      <c r="M15" s="64">
        <v>0.25</v>
      </c>
      <c r="N15" s="62">
        <v>168</v>
      </c>
      <c r="O15" s="63">
        <v>52.329947557594963</v>
      </c>
      <c r="Q15" s="6">
        <v>20</v>
      </c>
      <c r="R15" s="6">
        <v>10</v>
      </c>
      <c r="S15" s="6"/>
      <c r="T15" s="6"/>
      <c r="U15" s="6">
        <v>30</v>
      </c>
      <c r="X15" s="66">
        <f>'Loss Size'!M9*U15/100</f>
        <v>769.2999337013182</v>
      </c>
    </row>
    <row r="16" spans="2:24" x14ac:dyDescent="0.2">
      <c r="B16" s="61" t="s">
        <v>163</v>
      </c>
      <c r="C16" s="6" t="s">
        <v>5</v>
      </c>
      <c r="D16" s="6"/>
      <c r="E16" s="6"/>
      <c r="F16" s="6"/>
      <c r="G16" s="6"/>
      <c r="H16" s="6"/>
      <c r="I16" s="62" t="s">
        <v>8</v>
      </c>
      <c r="J16" s="6"/>
      <c r="K16" s="75"/>
      <c r="L16" s="62">
        <v>1658</v>
      </c>
      <c r="M16" s="64">
        <v>0.25</v>
      </c>
      <c r="N16" s="62">
        <v>168</v>
      </c>
      <c r="O16" s="63">
        <v>52.329947557594963</v>
      </c>
      <c r="Q16" s="6">
        <v>20</v>
      </c>
      <c r="R16" s="6">
        <v>10</v>
      </c>
      <c r="S16" s="6"/>
      <c r="T16" s="6"/>
      <c r="U16" s="6">
        <v>30</v>
      </c>
      <c r="X16" s="66">
        <f>'Loss Size'!M10*U16/100</f>
        <v>769.2999337013182</v>
      </c>
    </row>
    <row r="17" spans="2:24" x14ac:dyDescent="0.2">
      <c r="B17" s="61" t="s">
        <v>164</v>
      </c>
      <c r="C17" s="6" t="s">
        <v>5</v>
      </c>
      <c r="D17" s="6"/>
      <c r="E17" s="6"/>
      <c r="F17" s="6"/>
      <c r="G17" s="6"/>
      <c r="H17" s="6"/>
      <c r="I17" s="62" t="s">
        <v>8</v>
      </c>
      <c r="J17" s="6"/>
      <c r="K17" s="75"/>
      <c r="L17" s="62">
        <v>1658</v>
      </c>
      <c r="M17" s="64">
        <v>0.25</v>
      </c>
      <c r="N17" s="62">
        <v>168</v>
      </c>
      <c r="O17" s="63">
        <v>52.329947557594963</v>
      </c>
      <c r="Q17" s="6">
        <v>20</v>
      </c>
      <c r="R17" s="6">
        <v>10</v>
      </c>
      <c r="S17" s="6"/>
      <c r="T17" s="6"/>
      <c r="U17" s="6">
        <v>30</v>
      </c>
      <c r="X17" s="66">
        <f>'Loss Size'!M11*U17/100</f>
        <v>769.2999337013182</v>
      </c>
    </row>
    <row r="18" spans="2:24" x14ac:dyDescent="0.2">
      <c r="B18" s="61" t="s">
        <v>165</v>
      </c>
      <c r="C18" s="6" t="s">
        <v>5</v>
      </c>
      <c r="D18" s="6"/>
      <c r="E18" s="6"/>
      <c r="F18" s="6"/>
      <c r="G18" s="6"/>
      <c r="H18" s="6"/>
      <c r="I18" s="62" t="s">
        <v>8</v>
      </c>
      <c r="J18" s="6"/>
      <c r="K18" s="75"/>
      <c r="L18" s="62">
        <v>1658</v>
      </c>
      <c r="M18" s="64">
        <v>0.25</v>
      </c>
      <c r="N18" s="62">
        <v>168</v>
      </c>
      <c r="O18" s="63">
        <v>52.329947557594963</v>
      </c>
      <c r="Q18" s="6">
        <v>20</v>
      </c>
      <c r="R18" s="6">
        <v>10</v>
      </c>
      <c r="S18" s="6"/>
      <c r="T18" s="6"/>
      <c r="U18" s="6">
        <v>30</v>
      </c>
      <c r="X18" s="66">
        <f>'Loss Size'!M12*U18/100</f>
        <v>769.2999337013182</v>
      </c>
    </row>
    <row r="19" spans="2:24" x14ac:dyDescent="0.2">
      <c r="B19" s="61" t="s">
        <v>166</v>
      </c>
      <c r="C19" s="8" t="s">
        <v>13</v>
      </c>
      <c r="D19" s="8"/>
      <c r="E19" s="6"/>
      <c r="F19" s="6"/>
      <c r="G19" s="6"/>
      <c r="H19" s="6"/>
      <c r="I19" s="6" t="s">
        <v>204</v>
      </c>
      <c r="J19" s="6"/>
      <c r="K19" s="75"/>
      <c r="L19" s="62">
        <v>1894</v>
      </c>
      <c r="M19" s="64">
        <v>2</v>
      </c>
      <c r="N19" s="62">
        <v>24</v>
      </c>
      <c r="O19" s="63">
        <v>51.702464097701693</v>
      </c>
      <c r="Q19" s="6">
        <v>20</v>
      </c>
      <c r="R19" s="6"/>
      <c r="S19" s="6"/>
      <c r="T19" s="6"/>
      <c r="U19" s="6">
        <v>20</v>
      </c>
      <c r="X19" s="66">
        <f>'Loss Size'!M13*U19/100</f>
        <v>404.38472450195547</v>
      </c>
    </row>
    <row r="20" spans="2:24" x14ac:dyDescent="0.2">
      <c r="B20" s="61" t="s">
        <v>167</v>
      </c>
      <c r="C20" s="8" t="s">
        <v>5</v>
      </c>
      <c r="D20" s="8"/>
      <c r="E20" s="6"/>
      <c r="F20" s="6"/>
      <c r="G20" s="6"/>
      <c r="H20" s="6"/>
      <c r="I20" s="6" t="s">
        <v>15</v>
      </c>
      <c r="J20" s="6"/>
      <c r="K20" s="75"/>
      <c r="L20" s="62">
        <v>1771</v>
      </c>
      <c r="M20" s="64">
        <v>2</v>
      </c>
      <c r="N20" s="62">
        <v>24</v>
      </c>
      <c r="O20" s="63">
        <v>68.936618796935591</v>
      </c>
      <c r="Q20" s="6">
        <v>20</v>
      </c>
      <c r="R20" s="6"/>
      <c r="S20" s="6"/>
      <c r="T20" s="6"/>
      <c r="U20" s="6">
        <v>20</v>
      </c>
      <c r="X20" s="66">
        <f>'Loss Size'!M14*U20/100</f>
        <v>388.31296600260725</v>
      </c>
    </row>
    <row r="21" spans="2:24" x14ac:dyDescent="0.2">
      <c r="B21" s="61" t="s">
        <v>168</v>
      </c>
      <c r="C21" s="8" t="s">
        <v>5</v>
      </c>
      <c r="D21" s="8"/>
      <c r="E21" s="6"/>
      <c r="F21" s="6"/>
      <c r="G21" s="73"/>
      <c r="H21" s="73"/>
      <c r="I21" s="62" t="s">
        <v>17</v>
      </c>
      <c r="J21" s="6"/>
      <c r="K21" s="75"/>
      <c r="L21" s="62">
        <v>1710</v>
      </c>
      <c r="M21" s="64">
        <v>2</v>
      </c>
      <c r="N21" s="62">
        <v>24</v>
      </c>
      <c r="O21" s="63">
        <v>96.752994343345819</v>
      </c>
      <c r="Q21" s="6">
        <v>20</v>
      </c>
      <c r="R21" s="6"/>
      <c r="S21" s="6"/>
      <c r="T21" s="6"/>
      <c r="U21" s="6">
        <v>20</v>
      </c>
      <c r="X21" s="66">
        <f>'Loss Size'!M15*U21/100</f>
        <v>389.87777039670721</v>
      </c>
    </row>
    <row r="22" spans="2:24" x14ac:dyDescent="0.2">
      <c r="B22" s="61" t="s">
        <v>169</v>
      </c>
      <c r="C22" s="8" t="s">
        <v>5</v>
      </c>
      <c r="D22" s="8"/>
      <c r="E22" s="6"/>
      <c r="F22" s="6"/>
      <c r="G22" s="6"/>
      <c r="H22" s="6"/>
      <c r="I22" s="6" t="s">
        <v>2</v>
      </c>
      <c r="J22" s="6"/>
      <c r="K22" s="75"/>
      <c r="L22" s="62">
        <v>1936</v>
      </c>
      <c r="M22" s="64">
        <v>2</v>
      </c>
      <c r="N22" s="62">
        <v>24</v>
      </c>
      <c r="O22" s="63">
        <v>54.941732618190223</v>
      </c>
      <c r="Q22" s="6">
        <v>20</v>
      </c>
      <c r="R22" s="6"/>
      <c r="S22" s="6"/>
      <c r="T22" s="6"/>
      <c r="U22" s="6">
        <v>20</v>
      </c>
      <c r="X22" s="66">
        <f>'Loss Size'!M16*U22/100</f>
        <v>414.38766150178492</v>
      </c>
    </row>
    <row r="23" spans="2:24" x14ac:dyDescent="0.2">
      <c r="B23" s="61" t="s">
        <v>170</v>
      </c>
      <c r="C23" s="8" t="s">
        <v>5</v>
      </c>
      <c r="D23" s="8"/>
      <c r="E23" s="6"/>
      <c r="F23" s="6"/>
      <c r="G23" s="6"/>
      <c r="H23" s="6"/>
      <c r="I23" s="6" t="s">
        <v>23</v>
      </c>
      <c r="J23" s="6"/>
      <c r="K23" s="75"/>
      <c r="L23" s="62">
        <v>2349</v>
      </c>
      <c r="M23" s="64">
        <v>2</v>
      </c>
      <c r="N23" s="62">
        <v>24</v>
      </c>
      <c r="O23" s="63">
        <v>107.9648755007621</v>
      </c>
      <c r="Q23" s="6">
        <v>20</v>
      </c>
      <c r="R23" s="6"/>
      <c r="S23" s="6"/>
      <c r="T23" s="6"/>
      <c r="U23" s="6">
        <v>20</v>
      </c>
      <c r="X23" s="66">
        <f>'Loss Size'!M17*U23/100</f>
        <v>523.22591777357297</v>
      </c>
    </row>
    <row r="24" spans="2:24" x14ac:dyDescent="0.2">
      <c r="B24" s="61" t="s">
        <v>171</v>
      </c>
      <c r="C24" s="8" t="s">
        <v>5</v>
      </c>
      <c r="D24" s="8"/>
      <c r="E24" s="6"/>
      <c r="F24" s="6"/>
      <c r="G24" s="6"/>
      <c r="H24" s="6"/>
      <c r="I24" s="6" t="s">
        <v>17</v>
      </c>
      <c r="J24" s="6"/>
      <c r="K24" s="75"/>
      <c r="L24" s="62">
        <v>2249</v>
      </c>
      <c r="M24" s="64">
        <v>2</v>
      </c>
      <c r="N24" s="62">
        <v>24</v>
      </c>
      <c r="O24" s="63">
        <v>107.9648755007621</v>
      </c>
      <c r="Q24" s="6">
        <v>20</v>
      </c>
      <c r="R24" s="6"/>
      <c r="S24" s="6"/>
      <c r="T24" s="6"/>
      <c r="U24" s="6">
        <v>20</v>
      </c>
      <c r="X24" s="66">
        <f>'Loss Size'!M18*U24/100</f>
        <v>503.22591777357303</v>
      </c>
    </row>
    <row r="25" spans="2:24" x14ac:dyDescent="0.2">
      <c r="B25" s="61" t="s">
        <v>172</v>
      </c>
      <c r="C25" s="8" t="s">
        <v>5</v>
      </c>
      <c r="D25" s="8"/>
      <c r="E25" s="6"/>
      <c r="F25" s="6"/>
      <c r="G25" s="6"/>
      <c r="H25" s="6"/>
      <c r="I25" s="6" t="s">
        <v>27</v>
      </c>
      <c r="J25" s="6"/>
      <c r="K25" s="75"/>
      <c r="L25" s="62">
        <v>1419</v>
      </c>
      <c r="M25" s="64">
        <v>2</v>
      </c>
      <c r="N25" s="62">
        <v>24</v>
      </c>
      <c r="O25" s="63">
        <v>129.00399245779442</v>
      </c>
      <c r="Q25" s="6">
        <v>20</v>
      </c>
      <c r="R25" s="6"/>
      <c r="S25" s="6"/>
      <c r="T25" s="6"/>
      <c r="U25" s="6">
        <v>20</v>
      </c>
      <c r="X25" s="66">
        <f>'Loss Size'!M19*U25/100</f>
        <v>347.63702719560962</v>
      </c>
    </row>
    <row r="26" spans="2:24" x14ac:dyDescent="0.2">
      <c r="B26" s="61" t="s">
        <v>173</v>
      </c>
      <c r="C26" s="8" t="s">
        <v>5</v>
      </c>
      <c r="D26" s="8"/>
      <c r="E26" s="6"/>
      <c r="F26" s="6"/>
      <c r="G26" s="73"/>
      <c r="H26" s="73"/>
      <c r="I26" s="62" t="s">
        <v>2</v>
      </c>
      <c r="J26" s="6"/>
      <c r="K26" s="75"/>
      <c r="L26" s="62">
        <v>2513</v>
      </c>
      <c r="M26" s="64">
        <v>2</v>
      </c>
      <c r="N26" s="62">
        <v>24</v>
      </c>
      <c r="O26" s="63">
        <v>51.702464097701693</v>
      </c>
      <c r="Q26" s="6">
        <v>20</v>
      </c>
      <c r="R26" s="6"/>
      <c r="S26" s="6"/>
      <c r="T26" s="6"/>
      <c r="U26" s="6">
        <v>20</v>
      </c>
      <c r="X26" s="66">
        <f>'Loss Size'!M20*U26/100</f>
        <v>528.18472450195554</v>
      </c>
    </row>
    <row r="27" spans="2:24" x14ac:dyDescent="0.2">
      <c r="B27" s="61" t="s">
        <v>174</v>
      </c>
      <c r="C27" s="8" t="s">
        <v>5</v>
      </c>
      <c r="D27" s="8"/>
      <c r="E27" s="6"/>
      <c r="F27" s="6"/>
      <c r="G27" s="6"/>
      <c r="H27" s="6"/>
      <c r="I27" s="6" t="s">
        <v>17</v>
      </c>
      <c r="J27" s="6"/>
      <c r="K27" s="75"/>
      <c r="L27" s="62">
        <v>635</v>
      </c>
      <c r="M27" s="64">
        <v>2</v>
      </c>
      <c r="N27" s="62">
        <v>24</v>
      </c>
      <c r="O27" s="63">
        <v>32.965039570914129</v>
      </c>
      <c r="Q27" s="6">
        <v>20</v>
      </c>
      <c r="R27" s="6"/>
      <c r="S27" s="6"/>
      <c r="T27" s="6"/>
      <c r="U27" s="6">
        <v>20</v>
      </c>
      <c r="X27" s="66">
        <f>'Loss Size'!M21*U27/100</f>
        <v>143.31259690107089</v>
      </c>
    </row>
    <row r="28" spans="2:24" x14ac:dyDescent="0.2">
      <c r="B28" s="61" t="s">
        <v>175</v>
      </c>
      <c r="C28" s="8" t="s">
        <v>5</v>
      </c>
      <c r="D28" s="8"/>
      <c r="E28" s="6"/>
      <c r="F28" s="6"/>
      <c r="G28" s="6"/>
      <c r="H28" s="6"/>
      <c r="I28" s="6" t="s">
        <v>36</v>
      </c>
      <c r="J28" s="6"/>
      <c r="K28" s="75"/>
      <c r="L28" s="62">
        <v>1771</v>
      </c>
      <c r="M28" s="64">
        <v>2</v>
      </c>
      <c r="N28" s="62">
        <v>24</v>
      </c>
      <c r="O28" s="63">
        <v>134.95609437595263</v>
      </c>
      <c r="Q28" s="6">
        <v>20</v>
      </c>
      <c r="R28" s="6"/>
      <c r="S28" s="6"/>
      <c r="T28" s="6"/>
      <c r="U28" s="6">
        <v>20</v>
      </c>
      <c r="X28" s="66">
        <f>'Loss Size'!M22*U28/100</f>
        <v>420.98239721696626</v>
      </c>
    </row>
    <row r="29" spans="2:24" x14ac:dyDescent="0.2">
      <c r="B29" s="61" t="s">
        <v>176</v>
      </c>
      <c r="C29" s="8" t="s">
        <v>5</v>
      </c>
      <c r="D29" s="8"/>
      <c r="E29" s="6"/>
      <c r="F29" s="6"/>
      <c r="G29" s="6"/>
      <c r="H29" s="6"/>
      <c r="I29" s="6" t="s">
        <v>2</v>
      </c>
      <c r="J29" s="6"/>
      <c r="K29" s="75"/>
      <c r="L29" s="62">
        <v>2359</v>
      </c>
      <c r="M29" s="64">
        <v>2</v>
      </c>
      <c r="N29" s="62">
        <v>24</v>
      </c>
      <c r="O29" s="63">
        <v>32.965039570914129</v>
      </c>
      <c r="Q29" s="6">
        <v>20</v>
      </c>
      <c r="R29" s="6"/>
      <c r="S29" s="6"/>
      <c r="T29" s="6"/>
      <c r="U29" s="6">
        <v>20</v>
      </c>
      <c r="X29" s="66">
        <f>'Loss Size'!M23*U29/100</f>
        <v>488.11259690107096</v>
      </c>
    </row>
    <row r="30" spans="2:24" x14ac:dyDescent="0.2">
      <c r="B30" s="61" t="s">
        <v>177</v>
      </c>
      <c r="C30" s="8" t="s">
        <v>13</v>
      </c>
      <c r="D30" s="8"/>
      <c r="E30" s="6"/>
      <c r="F30" s="6"/>
      <c r="G30" s="6"/>
      <c r="H30" s="6"/>
      <c r="I30" s="6" t="s">
        <v>204</v>
      </c>
      <c r="J30" s="6"/>
      <c r="K30" s="75"/>
      <c r="L30" s="62">
        <v>558</v>
      </c>
      <c r="M30" s="64">
        <v>2</v>
      </c>
      <c r="N30" s="62">
        <v>24</v>
      </c>
      <c r="O30" s="63">
        <v>32.965039570914129</v>
      </c>
      <c r="Q30" s="6">
        <v>20</v>
      </c>
      <c r="R30" s="6"/>
      <c r="S30" s="6"/>
      <c r="T30" s="6"/>
      <c r="U30" s="6">
        <v>20</v>
      </c>
      <c r="X30" s="66">
        <f>'Loss Size'!M24*U30/100</f>
        <v>127.9125969010709</v>
      </c>
    </row>
    <row r="31" spans="2:24" x14ac:dyDescent="0.2">
      <c r="B31" s="61" t="s">
        <v>178</v>
      </c>
      <c r="C31" s="8" t="s">
        <v>5</v>
      </c>
      <c r="D31" s="8"/>
      <c r="E31" s="6"/>
      <c r="F31" s="6"/>
      <c r="G31" s="6"/>
      <c r="H31" s="6"/>
      <c r="I31" s="6" t="s">
        <v>2</v>
      </c>
      <c r="J31" s="6"/>
      <c r="K31" s="75"/>
      <c r="L31" s="62">
        <v>1522</v>
      </c>
      <c r="M31" s="64">
        <v>2</v>
      </c>
      <c r="N31" s="62">
        <v>24</v>
      </c>
      <c r="O31" s="63">
        <v>87.906772189104359</v>
      </c>
      <c r="Q31" s="6">
        <v>20</v>
      </c>
      <c r="R31" s="6"/>
      <c r="S31" s="6"/>
      <c r="T31" s="6"/>
      <c r="U31" s="6">
        <v>20</v>
      </c>
      <c r="X31" s="66">
        <f>'Loss Size'!M25*U31/100</f>
        <v>347.90025840285574</v>
      </c>
    </row>
    <row r="32" spans="2:24" x14ac:dyDescent="0.2">
      <c r="B32" s="61" t="s">
        <v>179</v>
      </c>
      <c r="C32" s="8" t="s">
        <v>13</v>
      </c>
      <c r="D32" s="8"/>
      <c r="E32" s="6"/>
      <c r="F32" s="6"/>
      <c r="G32" s="6"/>
      <c r="H32" s="6"/>
      <c r="I32" s="6"/>
      <c r="J32" s="6"/>
      <c r="K32" s="75"/>
      <c r="L32" s="62">
        <v>418</v>
      </c>
      <c r="M32" s="64"/>
      <c r="N32" s="62"/>
      <c r="O32" s="63"/>
      <c r="Q32" s="6">
        <v>20</v>
      </c>
      <c r="R32" s="6"/>
      <c r="S32" s="6"/>
      <c r="T32" s="6"/>
      <c r="U32" s="6">
        <v>20</v>
      </c>
      <c r="X32" s="66">
        <f>'Loss Size'!M26*U32/100</f>
        <v>83.6</v>
      </c>
    </row>
    <row r="33" spans="2:29" x14ac:dyDescent="0.2">
      <c r="B33" s="61" t="s">
        <v>180</v>
      </c>
      <c r="C33" s="8" t="s">
        <v>5</v>
      </c>
      <c r="D33" s="8"/>
      <c r="E33" s="6"/>
      <c r="F33" s="6"/>
      <c r="G33" s="6"/>
      <c r="H33" s="6"/>
      <c r="I33" s="6"/>
      <c r="J33" s="6"/>
      <c r="K33" s="75"/>
      <c r="L33" s="62">
        <v>418</v>
      </c>
      <c r="M33" s="64"/>
      <c r="N33" s="62"/>
      <c r="O33" s="63"/>
      <c r="Q33" s="6">
        <v>20</v>
      </c>
      <c r="R33" s="6"/>
      <c r="S33" s="6"/>
      <c r="T33" s="6"/>
      <c r="U33" s="6">
        <v>20</v>
      </c>
      <c r="X33" s="66">
        <f>'Loss Size'!M27*U33/100</f>
        <v>83.6</v>
      </c>
    </row>
    <row r="34" spans="2:29" x14ac:dyDescent="0.2">
      <c r="B34" s="61" t="s">
        <v>181</v>
      </c>
      <c r="C34" s="8" t="s">
        <v>5</v>
      </c>
      <c r="D34" s="8"/>
      <c r="E34" s="6"/>
      <c r="F34" s="6"/>
      <c r="G34" s="6"/>
      <c r="H34" s="6"/>
      <c r="I34" s="6" t="s">
        <v>2</v>
      </c>
      <c r="J34" s="6"/>
      <c r="K34" s="75"/>
      <c r="L34" s="62">
        <v>418</v>
      </c>
      <c r="M34" s="64">
        <v>2</v>
      </c>
      <c r="N34" s="62">
        <v>24</v>
      </c>
      <c r="O34" s="63">
        <v>5.6690776520727875</v>
      </c>
      <c r="Q34" s="6">
        <v>20</v>
      </c>
      <c r="R34" s="6"/>
      <c r="S34" s="6"/>
      <c r="T34" s="6"/>
      <c r="U34" s="6">
        <v>20</v>
      </c>
      <c r="X34" s="66">
        <f>'Loss Size'!M28*U34/100</f>
        <v>86.405316776283428</v>
      </c>
    </row>
    <row r="35" spans="2:29" x14ac:dyDescent="0.2">
      <c r="B35" s="61" t="s">
        <v>182</v>
      </c>
      <c r="C35" s="8" t="s">
        <v>5</v>
      </c>
      <c r="D35" s="8"/>
      <c r="E35" s="6"/>
      <c r="F35" s="6"/>
      <c r="G35" s="6"/>
      <c r="H35" s="6"/>
      <c r="I35" s="6" t="s">
        <v>49</v>
      </c>
      <c r="J35" s="6" t="s">
        <v>264</v>
      </c>
      <c r="K35" s="75"/>
      <c r="L35" s="62">
        <v>418</v>
      </c>
      <c r="M35" s="64">
        <v>2</v>
      </c>
      <c r="N35" s="62">
        <v>24</v>
      </c>
      <c r="O35" s="63">
        <v>51.702464097701693</v>
      </c>
      <c r="Q35" s="6">
        <v>20</v>
      </c>
      <c r="R35" s="6"/>
      <c r="S35" s="6">
        <v>10</v>
      </c>
      <c r="T35" s="6"/>
      <c r="U35" s="6">
        <v>30</v>
      </c>
      <c r="X35" s="66">
        <f>'Loss Size'!M29*U35/100</f>
        <v>163.7770867529332</v>
      </c>
    </row>
    <row r="36" spans="2:29" x14ac:dyDescent="0.2">
      <c r="B36" s="61" t="s">
        <v>183</v>
      </c>
      <c r="C36" s="8" t="s">
        <v>5</v>
      </c>
      <c r="D36" s="8"/>
      <c r="E36" s="6"/>
      <c r="F36" s="6"/>
      <c r="G36" s="6"/>
      <c r="H36" s="6"/>
      <c r="I36" s="6"/>
      <c r="K36" s="75"/>
      <c r="L36" s="62">
        <v>558</v>
      </c>
      <c r="M36" s="64"/>
      <c r="N36" s="62"/>
      <c r="O36" s="63"/>
      <c r="Q36" s="6">
        <v>20</v>
      </c>
      <c r="R36" s="6"/>
      <c r="S36" s="6"/>
      <c r="T36" s="6"/>
      <c r="U36" s="6">
        <v>20</v>
      </c>
      <c r="X36" s="66">
        <f>'Loss Size'!M30*U36/100</f>
        <v>111.6</v>
      </c>
    </row>
    <row r="37" spans="2:29" x14ac:dyDescent="0.2">
      <c r="B37" s="61" t="s">
        <v>184</v>
      </c>
      <c r="C37" s="8" t="s">
        <v>13</v>
      </c>
      <c r="D37" s="8"/>
      <c r="E37" s="6"/>
      <c r="F37" s="6"/>
      <c r="G37" s="6"/>
      <c r="H37" s="6"/>
      <c r="I37" s="6" t="s">
        <v>53</v>
      </c>
      <c r="J37" s="6"/>
      <c r="K37" s="75"/>
      <c r="L37" s="62">
        <v>558</v>
      </c>
      <c r="M37" s="64">
        <v>2</v>
      </c>
      <c r="N37" s="62">
        <v>24</v>
      </c>
      <c r="O37" s="63">
        <v>26.164973778797481</v>
      </c>
      <c r="Q37" s="6">
        <v>20</v>
      </c>
      <c r="R37" s="6"/>
      <c r="S37" s="6"/>
      <c r="T37" s="6"/>
      <c r="U37" s="6">
        <v>20</v>
      </c>
      <c r="X37" s="66">
        <f>'Loss Size'!M31*U37/100</f>
        <v>124.54761589053896</v>
      </c>
    </row>
    <row r="38" spans="2:29" x14ac:dyDescent="0.2">
      <c r="B38" s="61" t="s">
        <v>185</v>
      </c>
      <c r="C38" s="8" t="s">
        <v>13</v>
      </c>
      <c r="D38" s="8"/>
      <c r="E38" s="6"/>
      <c r="F38" s="6"/>
      <c r="G38" s="6"/>
      <c r="H38" s="6"/>
      <c r="I38" s="6" t="s">
        <v>55</v>
      </c>
      <c r="J38" s="6"/>
      <c r="K38" s="75"/>
      <c r="L38" s="62">
        <v>635</v>
      </c>
      <c r="M38" s="64">
        <v>2</v>
      </c>
      <c r="N38" s="62">
        <v>24</v>
      </c>
      <c r="O38" s="63">
        <v>26.164973778797481</v>
      </c>
      <c r="Q38" s="6">
        <v>20</v>
      </c>
      <c r="R38" s="6"/>
      <c r="S38" s="6"/>
      <c r="T38" s="6"/>
      <c r="U38" s="6">
        <v>20</v>
      </c>
      <c r="X38" s="66">
        <f>'Loss Size'!M32*U38/100</f>
        <v>139.94761589053897</v>
      </c>
    </row>
    <row r="39" spans="2:29" x14ac:dyDescent="0.2">
      <c r="B39" s="61" t="s">
        <v>186</v>
      </c>
      <c r="C39" s="8" t="s">
        <v>5</v>
      </c>
      <c r="D39" s="8"/>
      <c r="E39" s="6"/>
      <c r="F39" s="6"/>
      <c r="G39" s="6"/>
      <c r="H39" s="6"/>
      <c r="I39" s="6" t="s">
        <v>204</v>
      </c>
      <c r="J39" s="6"/>
      <c r="K39" s="75"/>
      <c r="L39" s="62">
        <v>558</v>
      </c>
      <c r="M39" s="64">
        <v>2</v>
      </c>
      <c r="N39" s="62">
        <v>24</v>
      </c>
      <c r="O39" s="63">
        <v>19.198669203535736</v>
      </c>
      <c r="Q39" s="6">
        <v>20</v>
      </c>
      <c r="R39" s="6"/>
      <c r="S39" s="6"/>
      <c r="T39" s="6"/>
      <c r="U39" s="6">
        <v>20</v>
      </c>
      <c r="X39" s="66">
        <f>'Loss Size'!M33*U39/100</f>
        <v>121.10037238937849</v>
      </c>
    </row>
    <row r="40" spans="2:29" x14ac:dyDescent="0.2">
      <c r="B40" s="61" t="s">
        <v>187</v>
      </c>
      <c r="C40" s="8" t="s">
        <v>5</v>
      </c>
      <c r="D40" s="8"/>
      <c r="E40" s="6"/>
      <c r="F40" s="6"/>
      <c r="G40" s="6"/>
      <c r="H40" s="6"/>
      <c r="I40" s="6" t="s">
        <v>17</v>
      </c>
      <c r="J40" s="6"/>
      <c r="K40" s="75"/>
      <c r="L40" s="62">
        <v>635</v>
      </c>
      <c r="M40" s="64">
        <v>2</v>
      </c>
      <c r="N40" s="62">
        <v>24</v>
      </c>
      <c r="O40" s="63">
        <v>5.6690776520727875</v>
      </c>
      <c r="Q40" s="6">
        <v>20</v>
      </c>
      <c r="R40" s="6"/>
      <c r="S40" s="6"/>
      <c r="T40" s="6"/>
      <c r="U40" s="6">
        <v>20</v>
      </c>
      <c r="X40" s="66">
        <f>'Loss Size'!M34*U40/100</f>
        <v>129.80531677628343</v>
      </c>
    </row>
    <row r="41" spans="2:29" x14ac:dyDescent="0.2">
      <c r="B41" s="61" t="s">
        <v>188</v>
      </c>
      <c r="C41" s="8" t="s">
        <v>5</v>
      </c>
      <c r="D41" s="8"/>
      <c r="E41" s="6"/>
      <c r="F41" s="6"/>
      <c r="G41" s="6"/>
      <c r="H41" s="6"/>
      <c r="I41" s="6"/>
      <c r="J41" s="6"/>
      <c r="K41" s="75"/>
      <c r="L41" s="62">
        <v>635</v>
      </c>
      <c r="M41" s="64"/>
      <c r="N41" s="62"/>
      <c r="O41" s="68"/>
      <c r="Q41" s="6">
        <v>20</v>
      </c>
      <c r="R41" s="6"/>
      <c r="S41" s="6"/>
      <c r="T41" s="6"/>
      <c r="U41" s="6">
        <v>20</v>
      </c>
      <c r="X41" s="66">
        <f>'Loss Size'!M35*U41/100</f>
        <v>127</v>
      </c>
    </row>
    <row r="42" spans="2:29" x14ac:dyDescent="0.2">
      <c r="B42" s="61" t="s">
        <v>189</v>
      </c>
      <c r="C42" s="8" t="s">
        <v>5</v>
      </c>
      <c r="D42" s="8"/>
      <c r="E42" s="6"/>
      <c r="F42" s="6"/>
      <c r="G42" s="6"/>
      <c r="H42" s="6"/>
      <c r="I42" s="6" t="s">
        <v>32</v>
      </c>
      <c r="J42" s="6"/>
      <c r="K42" s="75"/>
      <c r="L42" s="62">
        <v>2116</v>
      </c>
      <c r="M42" s="64">
        <v>2</v>
      </c>
      <c r="N42" s="62">
        <v>24</v>
      </c>
      <c r="O42" s="63">
        <v>19.198669203535736</v>
      </c>
      <c r="Q42" s="6">
        <v>20</v>
      </c>
      <c r="R42" s="6"/>
      <c r="S42" s="6"/>
      <c r="T42" s="6"/>
      <c r="U42" s="6">
        <v>20</v>
      </c>
      <c r="X42" s="66">
        <f>'Loss Size'!M36*U42/100</f>
        <v>432.70037238937846</v>
      </c>
    </row>
    <row r="43" spans="2:29" x14ac:dyDescent="0.2">
      <c r="B43" s="61" t="s">
        <v>190</v>
      </c>
      <c r="C43" s="8" t="s">
        <v>13</v>
      </c>
      <c r="D43" s="8"/>
      <c r="E43" s="6"/>
      <c r="F43" s="6"/>
      <c r="G43" s="6"/>
      <c r="H43" s="6"/>
      <c r="I43" s="6" t="s">
        <v>204</v>
      </c>
      <c r="J43" s="6"/>
      <c r="K43" s="75"/>
      <c r="L43" s="62">
        <v>2116</v>
      </c>
      <c r="M43" s="64">
        <v>2</v>
      </c>
      <c r="N43" s="62">
        <v>24</v>
      </c>
      <c r="O43" s="63">
        <v>51.196451209428638</v>
      </c>
      <c r="Q43" s="6">
        <v>20</v>
      </c>
      <c r="R43" s="6"/>
      <c r="S43" s="6"/>
      <c r="T43" s="6"/>
      <c r="U43" s="6">
        <v>20</v>
      </c>
      <c r="X43" s="66">
        <f>'Loss Size'!M37*U43/100</f>
        <v>448.53432637167606</v>
      </c>
    </row>
    <row r="44" spans="2:29" x14ac:dyDescent="0.2">
      <c r="B44" s="61" t="s">
        <v>191</v>
      </c>
      <c r="C44" s="8" t="s">
        <v>5</v>
      </c>
      <c r="D44" s="8"/>
      <c r="E44" s="6"/>
      <c r="F44" s="6"/>
      <c r="G44" s="6"/>
      <c r="H44" s="6"/>
      <c r="I44" s="6" t="s">
        <v>2</v>
      </c>
      <c r="J44" s="6"/>
      <c r="K44" s="75"/>
      <c r="L44" s="62">
        <v>2359</v>
      </c>
      <c r="M44" s="64">
        <v>2</v>
      </c>
      <c r="N44" s="62">
        <v>24</v>
      </c>
      <c r="O44" s="63">
        <v>38.397338407071473</v>
      </c>
      <c r="Q44" s="6">
        <v>20</v>
      </c>
      <c r="R44" s="6"/>
      <c r="S44" s="6"/>
      <c r="T44" s="6"/>
      <c r="U44" s="6">
        <v>20</v>
      </c>
      <c r="X44" s="66">
        <f>'Loss Size'!M38*U44/100</f>
        <v>490.80074477875706</v>
      </c>
    </row>
    <row r="45" spans="2:29" x14ac:dyDescent="0.2">
      <c r="K45" s="20"/>
    </row>
    <row r="46" spans="2:29" ht="15.95" thickBot="1" x14ac:dyDescent="0.25">
      <c r="K46" s="20"/>
      <c r="W46" s="23" t="s">
        <v>200</v>
      </c>
      <c r="X46" s="67">
        <f>SUM(X13:X44)</f>
        <v>11563.376337271913</v>
      </c>
      <c r="AC46" s="23" t="s">
        <v>200</v>
      </c>
    </row>
    <row r="47" spans="2:29" ht="15.75" thickTop="1" x14ac:dyDescent="0.25">
      <c r="K47" s="20"/>
    </row>
    <row r="48" spans="2:29" x14ac:dyDescent="0.25">
      <c r="K48" s="20"/>
    </row>
    <row r="49" spans="11:11" x14ac:dyDescent="0.25">
      <c r="K49" s="20"/>
    </row>
    <row r="50" spans="11:11" x14ac:dyDescent="0.25">
      <c r="K50" s="20"/>
    </row>
    <row r="51" spans="11:11" x14ac:dyDescent="0.25">
      <c r="K51" s="20"/>
    </row>
    <row r="52" spans="11:11" x14ac:dyDescent="0.25">
      <c r="K52" s="20"/>
    </row>
  </sheetData>
  <mergeCells count="3">
    <mergeCell ref="Q3:W3"/>
    <mergeCell ref="C11:O11"/>
    <mergeCell ref="Q11:U11"/>
  </mergeCells>
  <conditionalFormatting sqref="X13:X44">
    <cfRule type="colorScale" priority="1">
      <colorScale>
        <cfvo type="min"/>
        <cfvo type="percentile" val="70"/>
        <cfvo type="max"/>
        <color rgb="FF008000"/>
        <color rgb="FFFFEB84"/>
        <color rgb="FFFF0000"/>
      </colorScale>
    </cfRule>
  </conditionalFormatting>
  <pageMargins left="0.25" right="0.25" top="0.75" bottom="0.75" header="0.3" footer="0.3"/>
  <pageSetup paperSize="17"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X59"/>
  <sheetViews>
    <sheetView topLeftCell="C2" workbookViewId="0">
      <selection activeCell="B5" sqref="B5"/>
    </sheetView>
  </sheetViews>
  <sheetFormatPr defaultColWidth="11.42578125" defaultRowHeight="15" x14ac:dyDescent="0.25"/>
  <cols>
    <col min="1" max="1" width="26.140625" style="47" customWidth="1"/>
    <col min="2" max="2" width="29.28515625" style="1" customWidth="1"/>
    <col min="3" max="3" width="12" customWidth="1"/>
    <col min="8" max="8" width="14.7109375" customWidth="1"/>
  </cols>
  <sheetData>
    <row r="1" spans="2:24" x14ac:dyDescent="0.2">
      <c r="B1"/>
    </row>
    <row r="2" spans="2:24" x14ac:dyDescent="0.2">
      <c r="B2"/>
    </row>
    <row r="3" spans="2:24" x14ac:dyDescent="0.2">
      <c r="B3"/>
    </row>
    <row r="4" spans="2:24" ht="27.95" customHeight="1" x14ac:dyDescent="0.2">
      <c r="B4" s="3"/>
      <c r="C4" s="84" t="s">
        <v>130</v>
      </c>
      <c r="D4" s="85"/>
      <c r="E4" s="86"/>
      <c r="T4" s="84" t="s">
        <v>266</v>
      </c>
      <c r="U4" s="86"/>
    </row>
    <row r="5" spans="2:24" x14ac:dyDescent="0.2">
      <c r="B5" s="4" t="s">
        <v>0</v>
      </c>
      <c r="C5" s="49" t="s">
        <v>129</v>
      </c>
      <c r="D5" s="49" t="s">
        <v>131</v>
      </c>
      <c r="E5" s="49" t="s">
        <v>132</v>
      </c>
      <c r="T5" s="80" t="s">
        <v>267</v>
      </c>
      <c r="U5" s="64">
        <v>1250</v>
      </c>
      <c r="X5" t="str">
        <f>T5</f>
        <v>Design</v>
      </c>
    </row>
    <row r="6" spans="2:24" x14ac:dyDescent="0.2">
      <c r="B6" s="51" t="s">
        <v>161</v>
      </c>
      <c r="C6" s="69">
        <v>761.1429356902787</v>
      </c>
      <c r="D6" s="69">
        <v>212.71131742060868</v>
      </c>
      <c r="E6" s="69">
        <f t="shared" ref="E6:E37" si="0">C6*D6/100</f>
        <v>1619.0371659606881</v>
      </c>
      <c r="T6" s="80"/>
      <c r="U6" s="64"/>
      <c r="W6">
        <v>0</v>
      </c>
      <c r="X6">
        <f>U5</f>
        <v>1250</v>
      </c>
    </row>
    <row r="7" spans="2:24" x14ac:dyDescent="0.2">
      <c r="B7" s="9" t="s">
        <v>162</v>
      </c>
      <c r="C7" s="69">
        <v>761.1429356902787</v>
      </c>
      <c r="D7" s="69">
        <v>212.71131742060868</v>
      </c>
      <c r="E7" s="69">
        <f t="shared" si="0"/>
        <v>1619.0371659606881</v>
      </c>
      <c r="T7" s="80"/>
      <c r="U7" s="64"/>
      <c r="W7">
        <v>1</v>
      </c>
      <c r="X7">
        <f>X6</f>
        <v>1250</v>
      </c>
    </row>
    <row r="8" spans="2:24" x14ac:dyDescent="0.2">
      <c r="B8" s="6" t="s">
        <v>163</v>
      </c>
      <c r="C8" s="69">
        <v>761.1429356902787</v>
      </c>
      <c r="D8" s="69">
        <v>212.71131742060868</v>
      </c>
      <c r="E8" s="69">
        <f t="shared" si="0"/>
        <v>1619.0371659606881</v>
      </c>
      <c r="T8" s="80"/>
      <c r="U8" s="64"/>
    </row>
    <row r="9" spans="2:24" x14ac:dyDescent="0.2">
      <c r="B9" s="9" t="s">
        <v>164</v>
      </c>
      <c r="C9" s="69">
        <v>761.1429356902787</v>
      </c>
      <c r="D9" s="69">
        <v>212.71131742060868</v>
      </c>
      <c r="E9" s="69">
        <f t="shared" si="0"/>
        <v>1619.0371659606881</v>
      </c>
      <c r="T9" s="80"/>
      <c r="U9" s="64"/>
    </row>
    <row r="10" spans="2:24" x14ac:dyDescent="0.2">
      <c r="B10" s="9" t="s">
        <v>165</v>
      </c>
      <c r="C10" s="69">
        <v>761.1429356902787</v>
      </c>
      <c r="D10" s="69">
        <v>207.95789276307443</v>
      </c>
      <c r="E10" s="69">
        <f t="shared" si="0"/>
        <v>1582.8568099765064</v>
      </c>
      <c r="T10" s="80"/>
      <c r="U10" s="64"/>
    </row>
    <row r="11" spans="2:24" x14ac:dyDescent="0.2">
      <c r="B11" s="9" t="s">
        <v>170</v>
      </c>
      <c r="C11" s="69">
        <v>521.62314024036573</v>
      </c>
      <c r="D11" s="69">
        <v>275.14624536377579</v>
      </c>
      <c r="E11" s="69">
        <f t="shared" si="0"/>
        <v>1435.2264853199888</v>
      </c>
      <c r="T11" s="80"/>
      <c r="U11" s="64"/>
    </row>
    <row r="12" spans="2:24" s="47" customFormat="1" x14ac:dyDescent="0.2">
      <c r="B12" s="9" t="s">
        <v>168</v>
      </c>
      <c r="C12" s="70">
        <v>388.441437284806</v>
      </c>
      <c r="D12" s="70">
        <v>320.35902174060607</v>
      </c>
      <c r="E12" s="70">
        <f t="shared" si="0"/>
        <v>1244.4071885207543</v>
      </c>
      <c r="T12" s="82"/>
      <c r="U12" s="81"/>
    </row>
    <row r="13" spans="2:24" s="47" customFormat="1" x14ac:dyDescent="0.2">
      <c r="B13" s="9" t="s">
        <v>173</v>
      </c>
      <c r="C13" s="70">
        <v>527.41718276689676</v>
      </c>
      <c r="D13" s="70">
        <v>235.80958738537294</v>
      </c>
      <c r="E13" s="70">
        <f t="shared" si="0"/>
        <v>1243.7002824821775</v>
      </c>
      <c r="T13" s="82"/>
      <c r="U13" s="81"/>
    </row>
    <row r="14" spans="2:24" s="47" customFormat="1" x14ac:dyDescent="0.2">
      <c r="B14" s="9" t="s">
        <v>175</v>
      </c>
      <c r="C14" s="70">
        <v>418.97892530045726</v>
      </c>
      <c r="D14" s="70">
        <v>293.45801218417182</v>
      </c>
      <c r="E14" s="70">
        <f t="shared" si="0"/>
        <v>1229.527225657328</v>
      </c>
      <c r="T14" s="82"/>
      <c r="U14" s="81"/>
    </row>
    <row r="15" spans="2:24" s="47" customFormat="1" x14ac:dyDescent="0.2">
      <c r="B15" s="9" t="s">
        <v>172</v>
      </c>
      <c r="C15" s="70">
        <v>345.72191637974129</v>
      </c>
      <c r="D15" s="70">
        <v>303.50591026601364</v>
      </c>
      <c r="E15" s="70">
        <f t="shared" si="0"/>
        <v>1049.2864492974402</v>
      </c>
      <c r="T15" s="82"/>
      <c r="U15" s="81"/>
    </row>
    <row r="16" spans="2:24" s="47" customFormat="1" x14ac:dyDescent="0.2">
      <c r="B16" s="71" t="s">
        <v>166</v>
      </c>
      <c r="C16" s="70">
        <v>403.6171827668968</v>
      </c>
      <c r="D16" s="70">
        <v>247.57561478263318</v>
      </c>
      <c r="E16" s="70">
        <f t="shared" si="0"/>
        <v>999.2577216034889</v>
      </c>
      <c r="T16" s="82"/>
      <c r="U16" s="81"/>
    </row>
    <row r="17" spans="2:21" s="47" customFormat="1" x14ac:dyDescent="0.2">
      <c r="B17" s="9" t="s">
        <v>169</v>
      </c>
      <c r="C17" s="70">
        <v>413.57203165673127</v>
      </c>
      <c r="D17" s="70">
        <v>211.86858193325872</v>
      </c>
      <c r="E17" s="70">
        <f t="shared" si="0"/>
        <v>876.22919874368438</v>
      </c>
      <c r="T17" s="82"/>
      <c r="U17" s="81"/>
    </row>
    <row r="18" spans="2:21" s="47" customFormat="1" x14ac:dyDescent="0.2">
      <c r="B18" s="71" t="s">
        <v>190</v>
      </c>
      <c r="C18" s="70">
        <v>447.77429658052574</v>
      </c>
      <c r="D18" s="70">
        <v>188.65398545600397</v>
      </c>
      <c r="E18" s="70">
        <f t="shared" si="0"/>
        <v>844.74405634674918</v>
      </c>
      <c r="T18" s="82"/>
      <c r="U18" s="81"/>
    </row>
    <row r="19" spans="2:21" s="47" customFormat="1" x14ac:dyDescent="0.2">
      <c r="B19" s="9" t="s">
        <v>178</v>
      </c>
      <c r="C19" s="70">
        <v>346.59525065077008</v>
      </c>
      <c r="D19" s="70">
        <v>242.90047081924132</v>
      </c>
      <c r="E19" s="70">
        <f t="shared" si="0"/>
        <v>841.88149566785012</v>
      </c>
      <c r="T19" s="82"/>
      <c r="U19" s="81"/>
    </row>
    <row r="20" spans="2:21" s="47" customFormat="1" x14ac:dyDescent="0.2">
      <c r="B20" s="9" t="s">
        <v>176</v>
      </c>
      <c r="C20" s="70">
        <v>487.62321899403878</v>
      </c>
      <c r="D20" s="70">
        <v>150.57068493150683</v>
      </c>
      <c r="E20" s="70">
        <f t="shared" si="0"/>
        <v>734.21762072438582</v>
      </c>
      <c r="T20" s="82"/>
      <c r="U20" s="81"/>
    </row>
    <row r="21" spans="2:21" s="47" customFormat="1" x14ac:dyDescent="0.2">
      <c r="B21" s="9" t="s">
        <v>189</v>
      </c>
      <c r="C21" s="70">
        <v>432.41536121769713</v>
      </c>
      <c r="D21" s="70">
        <v>160.84990208024806</v>
      </c>
      <c r="E21" s="70">
        <f t="shared" si="0"/>
        <v>695.5396850986167</v>
      </c>
      <c r="T21" s="82"/>
      <c r="U21" s="81"/>
    </row>
    <row r="22" spans="2:21" s="47" customFormat="1" x14ac:dyDescent="0.2">
      <c r="B22" s="71" t="s">
        <v>191</v>
      </c>
      <c r="C22" s="70">
        <v>490.23072243539428</v>
      </c>
      <c r="D22" s="70">
        <v>127.96117402350983</v>
      </c>
      <c r="E22" s="70">
        <f t="shared" si="0"/>
        <v>627.30498785226428</v>
      </c>
    </row>
    <row r="23" spans="2:21" s="47" customFormat="1" x14ac:dyDescent="0.2">
      <c r="B23" s="9" t="s">
        <v>167</v>
      </c>
      <c r="C23" s="70">
        <v>387.2895770225291</v>
      </c>
      <c r="D23" s="70">
        <v>139.19744071474381</v>
      </c>
      <c r="E23" s="70">
        <f t="shared" si="0"/>
        <v>539.09717937031701</v>
      </c>
    </row>
    <row r="24" spans="2:21" s="47" customFormat="1" x14ac:dyDescent="0.2">
      <c r="B24" s="9" t="s">
        <v>171</v>
      </c>
      <c r="C24" s="70">
        <v>501.62314024036573</v>
      </c>
      <c r="D24" s="70">
        <v>88.622191780821908</v>
      </c>
      <c r="E24" s="70">
        <f t="shared" si="0"/>
        <v>444.54942136079814</v>
      </c>
    </row>
    <row r="25" spans="2:21" s="47" customFormat="1" x14ac:dyDescent="0.2">
      <c r="B25" s="71" t="s">
        <v>182</v>
      </c>
      <c r="C25" s="70">
        <v>162.62577415034519</v>
      </c>
      <c r="D25" s="70">
        <v>230.84438190592087</v>
      </c>
      <c r="E25" s="70">
        <f t="shared" si="0"/>
        <v>375.41246315708321</v>
      </c>
    </row>
    <row r="26" spans="2:21" s="47" customFormat="1" x14ac:dyDescent="0.2">
      <c r="B26" s="71" t="s">
        <v>160</v>
      </c>
      <c r="C26" s="70">
        <v>145.4307224353943</v>
      </c>
      <c r="D26" s="70">
        <v>216.75870827008515</v>
      </c>
      <c r="E26" s="70">
        <f t="shared" si="0"/>
        <v>315.23375537881361</v>
      </c>
    </row>
    <row r="27" spans="2:21" s="47" customFormat="1" x14ac:dyDescent="0.2">
      <c r="B27" s="9" t="s">
        <v>177</v>
      </c>
      <c r="C27" s="70">
        <v>127.42321899403878</v>
      </c>
      <c r="D27" s="70">
        <v>220.56613546132508</v>
      </c>
      <c r="E27" s="70">
        <f t="shared" si="0"/>
        <v>281.05246981557246</v>
      </c>
    </row>
    <row r="28" spans="2:21" s="47" customFormat="1" x14ac:dyDescent="0.2">
      <c r="B28" s="9" t="s">
        <v>183</v>
      </c>
      <c r="C28" s="70">
        <v>111.6</v>
      </c>
      <c r="D28" s="70">
        <v>247.52507491978278</v>
      </c>
      <c r="E28" s="70">
        <f t="shared" si="0"/>
        <v>276.23798361047756</v>
      </c>
    </row>
    <row r="29" spans="2:21" s="47" customFormat="1" x14ac:dyDescent="0.2">
      <c r="B29" s="9" t="s">
        <v>174</v>
      </c>
      <c r="C29" s="70">
        <v>142.82321899403877</v>
      </c>
      <c r="D29" s="70">
        <v>187.8806560092703</v>
      </c>
      <c r="E29" s="70">
        <f t="shared" si="0"/>
        <v>268.33720077955678</v>
      </c>
    </row>
    <row r="30" spans="2:21" s="47" customFormat="1" x14ac:dyDescent="0.2">
      <c r="B30" s="9" t="s">
        <v>185</v>
      </c>
      <c r="C30" s="70">
        <v>139.5591874138228</v>
      </c>
      <c r="D30" s="70">
        <v>185.8630559705783</v>
      </c>
      <c r="E30" s="70">
        <f t="shared" si="0"/>
        <v>259.38897061503775</v>
      </c>
    </row>
    <row r="31" spans="2:21" s="47" customFormat="1" x14ac:dyDescent="0.2">
      <c r="B31" s="71" t="s">
        <v>179</v>
      </c>
      <c r="C31" s="70">
        <v>83.6</v>
      </c>
      <c r="D31" s="70">
        <v>247.45469811309277</v>
      </c>
      <c r="E31" s="70">
        <f t="shared" si="0"/>
        <v>206.87212762254555</v>
      </c>
    </row>
    <row r="32" spans="2:21" s="47" customFormat="1" x14ac:dyDescent="0.2">
      <c r="B32" s="9" t="s">
        <v>186</v>
      </c>
      <c r="C32" s="70">
        <v>120.81536121769716</v>
      </c>
      <c r="D32" s="70">
        <v>144.54277879257683</v>
      </c>
      <c r="E32" s="70">
        <f t="shared" si="0"/>
        <v>174.62988031234866</v>
      </c>
    </row>
    <row r="33" spans="2:5" s="47" customFormat="1" x14ac:dyDescent="0.2">
      <c r="B33" s="71" t="s">
        <v>181</v>
      </c>
      <c r="C33" s="70">
        <v>86.321157272994938</v>
      </c>
      <c r="D33" s="70">
        <v>138.82962559727827</v>
      </c>
      <c r="E33" s="70">
        <f t="shared" si="0"/>
        <v>119.83933945333662</v>
      </c>
    </row>
    <row r="34" spans="2:5" s="47" customFormat="1" x14ac:dyDescent="0.2">
      <c r="B34" s="71" t="s">
        <v>184</v>
      </c>
      <c r="C34" s="70">
        <v>124.15918741382281</v>
      </c>
      <c r="D34" s="70">
        <v>77.618082191780815</v>
      </c>
      <c r="E34" s="70">
        <f t="shared" si="0"/>
        <v>96.369980135508158</v>
      </c>
    </row>
    <row r="35" spans="2:5" s="47" customFormat="1" x14ac:dyDescent="0.2">
      <c r="B35" s="9" t="s">
        <v>187</v>
      </c>
      <c r="C35" s="70">
        <v>129.72115727299496</v>
      </c>
      <c r="D35" s="70">
        <v>73.820821917808217</v>
      </c>
      <c r="E35" s="70">
        <f t="shared" si="0"/>
        <v>95.761224500217523</v>
      </c>
    </row>
    <row r="36" spans="2:5" s="47" customFormat="1" x14ac:dyDescent="0.2">
      <c r="B36" s="71" t="s">
        <v>180</v>
      </c>
      <c r="C36" s="70">
        <v>83.6</v>
      </c>
      <c r="D36" s="70">
        <v>74.437534246575353</v>
      </c>
      <c r="E36" s="70">
        <f t="shared" si="0"/>
        <v>62.229778630136991</v>
      </c>
    </row>
    <row r="37" spans="2:5" s="47" customFormat="1" x14ac:dyDescent="0.2">
      <c r="B37" s="9" t="s">
        <v>188</v>
      </c>
      <c r="C37" s="70">
        <v>127</v>
      </c>
      <c r="D37" s="70">
        <v>46.934009158922102</v>
      </c>
      <c r="E37" s="70">
        <f t="shared" si="0"/>
        <v>59.606191631831074</v>
      </c>
    </row>
    <row r="38" spans="2:5" x14ac:dyDescent="0.2">
      <c r="B38"/>
    </row>
    <row r="39" spans="2:5" x14ac:dyDescent="0.2">
      <c r="B39"/>
    </row>
    <row r="40" spans="2:5" x14ac:dyDescent="0.2">
      <c r="B40"/>
    </row>
    <row r="41" spans="2:5" x14ac:dyDescent="0.2">
      <c r="B41"/>
    </row>
    <row r="42" spans="2:5" x14ac:dyDescent="0.2">
      <c r="B42"/>
    </row>
    <row r="43" spans="2:5" x14ac:dyDescent="0.2">
      <c r="B43"/>
    </row>
    <row r="44" spans="2:5" x14ac:dyDescent="0.2">
      <c r="B44"/>
    </row>
    <row r="45" spans="2:5" x14ac:dyDescent="0.2">
      <c r="B45"/>
    </row>
    <row r="46" spans="2:5" x14ac:dyDescent="0.25">
      <c r="B46"/>
    </row>
    <row r="47" spans="2:5" x14ac:dyDescent="0.25">
      <c r="B47"/>
    </row>
    <row r="48" spans="2:5"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s="16"/>
    </row>
    <row r="59" spans="2:2" x14ac:dyDescent="0.25">
      <c r="B59" s="10"/>
    </row>
  </sheetData>
  <sortState ref="B6:F37">
    <sortCondition descending="1" ref="E6:E37"/>
  </sortState>
  <mergeCells count="2">
    <mergeCell ref="C4:E4"/>
    <mergeCell ref="T4:U4"/>
  </mergeCells>
  <conditionalFormatting sqref="E6:E37">
    <cfRule type="colorScale" priority="2">
      <colorScale>
        <cfvo type="percentile" val="20"/>
        <cfvo type="percentile" val="50"/>
        <cfvo type="percentile" val="85"/>
        <color rgb="FF008000"/>
        <color rgb="FFFFEB84"/>
        <color rgb="FFFF6600"/>
      </colorScale>
    </cfRule>
  </conditionalFormatting>
  <conditionalFormatting sqref="E11">
    <cfRule type="colorScale" priority="1">
      <colorScale>
        <cfvo type="percentile" val="20"/>
        <cfvo type="percentile" val="50"/>
        <cfvo type="percentile" val="85"/>
        <color rgb="FF008000"/>
        <color rgb="FFFFEB84"/>
        <color rgb="FFFF6600"/>
      </colorScale>
    </cfRule>
  </conditionalFormatting>
  <pageMargins left="0.25" right="0.25" top="0.75" bottom="0.75" header="0.3" footer="0.3"/>
  <pageSetup paperSize="17" orientation="landscape"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Risk Sorted</vt:lpstr>
      <vt:lpstr>RISK (2 old)</vt:lpstr>
      <vt:lpstr>Title</vt:lpstr>
      <vt:lpstr>Likelihood</vt:lpstr>
      <vt:lpstr>Loss Size</vt:lpstr>
      <vt:lpstr>Risk Sorted (2 old)</vt:lpstr>
      <vt:lpstr>Consequence</vt:lpstr>
      <vt:lpstr>Risk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Shaw</dc:creator>
  <cp:lastModifiedBy>Rose, Susan</cp:lastModifiedBy>
  <dcterms:created xsi:type="dcterms:W3CDTF">2013-05-11T21:09:43Z</dcterms:created>
  <dcterms:modified xsi:type="dcterms:W3CDTF">2017-07-17T16:57:01Z</dcterms:modified>
</cp:coreProperties>
</file>